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к\"/>
    </mc:Choice>
  </mc:AlternateContent>
  <xr:revisionPtr revIDLastSave="0" documentId="13_ncr:1_{0CFF6BC0-7E3F-4EEB-A07D-1B3EDDC56B22}" xr6:coauthVersionLast="47" xr6:coauthVersionMax="47" xr10:uidLastSave="{00000000-0000-0000-0000-000000000000}"/>
  <bookViews>
    <workbookView xWindow="-120" yWindow="-120" windowWidth="29040" windowHeight="15840" tabRatio="941" firstSheet="6" activeTab="18" xr2:uid="{00000000-000D-0000-FFFF-FFFF00000000}"/>
  </bookViews>
  <sheets>
    <sheet name="АКЦИИ МЕСЯЦА" sheetId="46" r:id="rId1"/>
    <sheet name="Доска обрезная" sheetId="38" r:id="rId2"/>
    <sheet name="Доска строганная" sheetId="7" r:id="rId3"/>
    <sheet name="Евровагонка и штиль" sheetId="34" r:id="rId4"/>
    <sheet name="Блок-хаус, доска пола" sheetId="49" r:id="rId5"/>
    <sheet name="Имитация бруса" sheetId="26" r:id="rId6"/>
    <sheet name="Изделия осина" sheetId="51" r:id="rId7"/>
    <sheet name="Изделия из осины" sheetId="42" r:id="rId8"/>
    <sheet name="Утеплители, рубероид, блоки" sheetId="24" r:id="rId9"/>
    <sheet name="ИЗОСПАН" sheetId="54" r:id="rId10"/>
    <sheet name="Антисептик СЕНЕЖ" sheetId="44" r:id="rId11"/>
    <sheet name="ОСП" sheetId="31" r:id="rId12"/>
    <sheet name="Погонажная продукция" sheetId="40" r:id="rId13"/>
    <sheet name="Лестничный элемент" sheetId="41" r:id="rId14"/>
    <sheet name="Метизы" sheetId="47" r:id="rId15"/>
    <sheet name="Ондулин" sheetId="52" r:id="rId16"/>
    <sheet name="Черепица" sheetId="53" r:id="rId17"/>
    <sheet name="Бруски" sheetId="25" r:id="rId18"/>
    <sheet name="Металл" sheetId="55" r:id="rId19"/>
    <sheet name="Металл (на заказ)" sheetId="50" r:id="rId20"/>
  </sheets>
  <definedNames>
    <definedName name="_xlnm.Print_Area" localSheetId="0">'АКЦИИ МЕСЯЦА'!$B$1:$E$68</definedName>
    <definedName name="_xlnm.Print_Area" localSheetId="10">'Антисептик СЕНЕЖ'!$A$1:$D$22</definedName>
    <definedName name="_xlnm.Print_Area" localSheetId="4">'Блок-хаус, доска пола'!$B$4:$J$41</definedName>
    <definedName name="_xlnm.Print_Area" localSheetId="2">'Доска строганная'!$B$4:$J$47</definedName>
    <definedName name="_xlnm.Print_Area" localSheetId="3">'Евровагонка и штиль'!$B$4:$J$56</definedName>
    <definedName name="_xlnm.Print_Area" localSheetId="7">'Изделия из осины'!$A$1:$D$52</definedName>
    <definedName name="_xlnm.Print_Area" localSheetId="6">'Изделия осина'!$A$1:$C$58</definedName>
    <definedName name="_xlnm.Print_Area" localSheetId="5">'Имитация бруса'!$A$1:$H$30</definedName>
    <definedName name="_xlnm.Print_Area" localSheetId="13">'Лестничный элемент'!$A$1:$C$56</definedName>
    <definedName name="_xlnm.Print_Area" localSheetId="19">'Металл (на заказ)'!$A$1:$E$60</definedName>
    <definedName name="_xlnm.Print_Area" localSheetId="14">Метизы!$A$1:$I$108</definedName>
    <definedName name="_xlnm.Print_Area" localSheetId="11">ОСП!$C$4:$G$30</definedName>
    <definedName name="_xlnm.Print_Area" localSheetId="12">'Погонажная продукция'!$A$1:$C$86</definedName>
    <definedName name="_xlnm.Print_Area" localSheetId="8">'Утеплители, рубероид, блоки'!$A$1:$C$24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55" l="1"/>
  <c r="D32" i="55"/>
  <c r="D31" i="55"/>
  <c r="D41" i="55"/>
  <c r="D40" i="55"/>
  <c r="D38" i="55"/>
  <c r="D37" i="55"/>
  <c r="D36" i="55"/>
  <c r="D35" i="55"/>
  <c r="D23" i="55"/>
  <c r="D28" i="55"/>
  <c r="D24" i="55"/>
  <c r="D25" i="55"/>
  <c r="D26" i="55"/>
  <c r="D27" i="55"/>
  <c r="D29" i="55"/>
  <c r="D22" i="55"/>
  <c r="H28" i="7"/>
  <c r="G28" i="7"/>
  <c r="D16" i="38"/>
  <c r="D15" i="38"/>
  <c r="D64" i="38"/>
  <c r="D65" i="38"/>
  <c r="D83" i="38"/>
  <c r="D82" i="38"/>
  <c r="D80" i="38"/>
  <c r="D73" i="38"/>
  <c r="D75" i="38"/>
  <c r="D76" i="38"/>
  <c r="D67" i="38"/>
  <c r="D38" i="25"/>
  <c r="D37" i="25"/>
  <c r="D35" i="25"/>
  <c r="D34" i="25"/>
  <c r="D33" i="25"/>
  <c r="D32" i="25"/>
  <c r="D31" i="25"/>
  <c r="D30" i="25"/>
  <c r="D29" i="25"/>
  <c r="D28" i="25"/>
  <c r="D27" i="25"/>
  <c r="D23" i="25"/>
  <c r="D22" i="25"/>
  <c r="D21" i="25"/>
  <c r="D19" i="25"/>
  <c r="D18" i="25"/>
  <c r="D17" i="25"/>
  <c r="D16" i="25"/>
  <c r="D15" i="25"/>
  <c r="D14" i="25"/>
  <c r="D13" i="25"/>
  <c r="D12" i="25"/>
  <c r="C14" i="53"/>
  <c r="C13" i="53"/>
  <c r="C12" i="53"/>
  <c r="C11" i="53"/>
  <c r="C14" i="52"/>
  <c r="C13" i="52"/>
  <c r="C12" i="52"/>
  <c r="C11" i="52"/>
  <c r="G29" i="26"/>
  <c r="F29" i="26"/>
  <c r="F28" i="26"/>
  <c r="G28" i="26" s="1"/>
  <c r="F27" i="26"/>
  <c r="G27" i="26" s="1"/>
  <c r="F26" i="26"/>
  <c r="G26" i="26" s="1"/>
  <c r="F25" i="26"/>
  <c r="G25" i="26" s="1"/>
  <c r="F24" i="26"/>
  <c r="G24" i="26" s="1"/>
  <c r="F23" i="26"/>
  <c r="G23" i="26" s="1"/>
  <c r="F22" i="26"/>
  <c r="G22" i="26" s="1"/>
  <c r="F21" i="26"/>
  <c r="G21" i="26" s="1"/>
  <c r="F20" i="26"/>
  <c r="G20" i="26" s="1"/>
  <c r="F19" i="26"/>
  <c r="G19" i="26" s="1"/>
  <c r="F18" i="26"/>
  <c r="G18" i="26" s="1"/>
  <c r="F17" i="26"/>
  <c r="G17" i="26" s="1"/>
  <c r="F16" i="26"/>
  <c r="G16" i="26" s="1"/>
  <c r="F15" i="26"/>
  <c r="G15" i="26" s="1"/>
  <c r="F14" i="26"/>
  <c r="G14" i="26" s="1"/>
  <c r="F13" i="26"/>
  <c r="G13" i="26" s="1"/>
  <c r="F12" i="26"/>
  <c r="G12" i="26" s="1"/>
  <c r="H40" i="49"/>
  <c r="G40" i="49"/>
  <c r="H39" i="49"/>
  <c r="G39" i="49"/>
  <c r="H38" i="49"/>
  <c r="G38" i="49"/>
  <c r="G37" i="49"/>
  <c r="H37" i="49" s="1"/>
  <c r="H36" i="49"/>
  <c r="G36" i="49"/>
  <c r="G35" i="49"/>
  <c r="H35" i="49" s="1"/>
  <c r="H34" i="49"/>
  <c r="G34" i="49"/>
  <c r="G33" i="49"/>
  <c r="H33" i="49" s="1"/>
  <c r="G32" i="49"/>
  <c r="H32" i="49" s="1"/>
  <c r="H31" i="49"/>
  <c r="G31" i="49"/>
  <c r="G26" i="49"/>
  <c r="H26" i="49" s="1"/>
  <c r="H25" i="49"/>
  <c r="G25" i="49"/>
  <c r="H24" i="49"/>
  <c r="G24" i="49"/>
  <c r="H23" i="49"/>
  <c r="G23" i="49"/>
  <c r="H22" i="49"/>
  <c r="G22" i="49"/>
  <c r="H21" i="49"/>
  <c r="G21" i="49"/>
  <c r="H20" i="49"/>
  <c r="G20" i="49"/>
  <c r="H19" i="49"/>
  <c r="G19" i="49"/>
  <c r="H18" i="49"/>
  <c r="G18" i="49"/>
  <c r="H17" i="49"/>
  <c r="G17" i="49"/>
  <c r="H16" i="49"/>
  <c r="G16" i="49"/>
  <c r="H15" i="49"/>
  <c r="G15" i="49"/>
  <c r="H55" i="34"/>
  <c r="I55" i="34" s="1"/>
  <c r="H54" i="34"/>
  <c r="I54" i="34" s="1"/>
  <c r="H53" i="34"/>
  <c r="I53" i="34" s="1"/>
  <c r="H52" i="34"/>
  <c r="I52" i="34" s="1"/>
  <c r="H51" i="34"/>
  <c r="I51" i="34" s="1"/>
  <c r="I50" i="34"/>
  <c r="H50" i="34"/>
  <c r="H49" i="34"/>
  <c r="I49" i="34" s="1"/>
  <c r="H48" i="34"/>
  <c r="I48" i="34" s="1"/>
  <c r="I43" i="34"/>
  <c r="H43" i="34"/>
  <c r="H42" i="34"/>
  <c r="I42" i="34" s="1"/>
  <c r="H41" i="34"/>
  <c r="I41" i="34" s="1"/>
  <c r="I40" i="34"/>
  <c r="H40" i="34"/>
  <c r="H39" i="34"/>
  <c r="I39" i="34" s="1"/>
  <c r="H38" i="34"/>
  <c r="I38" i="34" s="1"/>
  <c r="I37" i="34"/>
  <c r="H37" i="34"/>
  <c r="H36" i="34"/>
  <c r="I36" i="34" s="1"/>
  <c r="H35" i="34"/>
  <c r="I35" i="34" s="1"/>
  <c r="I34" i="34"/>
  <c r="H34" i="34"/>
  <c r="H33" i="34"/>
  <c r="I33" i="34" s="1"/>
  <c r="H32" i="34"/>
  <c r="I32" i="34" s="1"/>
  <c r="I31" i="34"/>
  <c r="H31" i="34"/>
  <c r="H30" i="34"/>
  <c r="I30" i="34" s="1"/>
  <c r="H29" i="34"/>
  <c r="I29" i="34" s="1"/>
  <c r="I28" i="34"/>
  <c r="H28" i="34"/>
  <c r="H27" i="34"/>
  <c r="I27" i="34" s="1"/>
  <c r="H26" i="34"/>
  <c r="I26" i="34" s="1"/>
  <c r="I25" i="34"/>
  <c r="H25" i="34"/>
  <c r="H24" i="34"/>
  <c r="I24" i="34" s="1"/>
  <c r="H23" i="34"/>
  <c r="I23" i="34" s="1"/>
  <c r="I22" i="34"/>
  <c r="H22" i="34"/>
  <c r="H21" i="34"/>
  <c r="I21" i="34" s="1"/>
  <c r="H20" i="34"/>
  <c r="I20" i="34" s="1"/>
  <c r="I19" i="34"/>
  <c r="H19" i="34"/>
  <c r="H18" i="34"/>
  <c r="I18" i="34" s="1"/>
  <c r="H17" i="34"/>
  <c r="I17" i="34" s="1"/>
  <c r="I16" i="34"/>
  <c r="H16" i="34"/>
  <c r="H15" i="34"/>
  <c r="I15" i="34" s="1"/>
  <c r="H45" i="7"/>
  <c r="G45" i="7"/>
  <c r="G44" i="7"/>
  <c r="H44" i="7" s="1"/>
  <c r="G43" i="7"/>
  <c r="H43" i="7" s="1"/>
  <c r="G42" i="7"/>
  <c r="H42" i="7" s="1"/>
  <c r="G41" i="7"/>
  <c r="H41" i="7" s="1"/>
  <c r="G40" i="7"/>
  <c r="H40" i="7" s="1"/>
  <c r="H39" i="7"/>
  <c r="G39" i="7"/>
  <c r="G38" i="7"/>
  <c r="H38" i="7" s="1"/>
  <c r="G37" i="7"/>
  <c r="H37" i="7" s="1"/>
  <c r="H36" i="7"/>
  <c r="G36" i="7"/>
  <c r="G35" i="7"/>
  <c r="H35" i="7" s="1"/>
  <c r="G34" i="7"/>
  <c r="H34" i="7" s="1"/>
  <c r="H31" i="7"/>
  <c r="G31" i="7"/>
  <c r="G30" i="7"/>
  <c r="H30" i="7" s="1"/>
  <c r="G29" i="7"/>
  <c r="H29" i="7" s="1"/>
  <c r="G27" i="7"/>
  <c r="H27" i="7" s="1"/>
  <c r="G26" i="7"/>
  <c r="H26" i="7" s="1"/>
  <c r="G25" i="7"/>
  <c r="H25" i="7" s="1"/>
  <c r="H24" i="7"/>
  <c r="G24" i="7"/>
  <c r="G23" i="7"/>
  <c r="H23" i="7" s="1"/>
  <c r="G22" i="7"/>
  <c r="H22" i="7" s="1"/>
  <c r="H21" i="7"/>
  <c r="G21" i="7"/>
  <c r="G20" i="7"/>
  <c r="H20" i="7" s="1"/>
  <c r="G19" i="7"/>
  <c r="H19" i="7" s="1"/>
  <c r="H18" i="7"/>
  <c r="G18" i="7"/>
  <c r="G17" i="7"/>
  <c r="H17" i="7" s="1"/>
  <c r="G16" i="7"/>
  <c r="H16" i="7" s="1"/>
  <c r="D117" i="38"/>
  <c r="D116" i="38"/>
  <c r="D115" i="38"/>
  <c r="D113" i="38"/>
  <c r="D112" i="38"/>
  <c r="D111" i="38"/>
  <c r="D110" i="38"/>
  <c r="D108" i="38"/>
  <c r="D107" i="38"/>
  <c r="D106" i="38"/>
  <c r="D104" i="38"/>
  <c r="D103" i="38"/>
  <c r="D102" i="38"/>
  <c r="D101" i="38"/>
  <c r="D99" i="38"/>
  <c r="D98" i="38"/>
  <c r="D97" i="38"/>
  <c r="D96" i="38"/>
  <c r="D95" i="38"/>
  <c r="D94" i="38"/>
  <c r="D92" i="38"/>
  <c r="D91" i="38"/>
  <c r="D90" i="38"/>
  <c r="D89" i="38"/>
  <c r="D88" i="38"/>
  <c r="D87" i="38"/>
  <c r="D84" i="38"/>
  <c r="D81" i="38"/>
  <c r="D79" i="38"/>
  <c r="D77" i="38"/>
  <c r="D74" i="38"/>
  <c r="D72" i="38"/>
  <c r="D70" i="38"/>
  <c r="D69" i="38"/>
  <c r="D68" i="38"/>
  <c r="D66" i="38"/>
  <c r="D63" i="38"/>
  <c r="D58" i="38"/>
  <c r="D57" i="38"/>
  <c r="D56" i="38"/>
  <c r="D55" i="38"/>
  <c r="D52" i="38"/>
  <c r="D51" i="38"/>
  <c r="D50" i="38"/>
  <c r="D49" i="38"/>
  <c r="D46" i="38"/>
  <c r="D45" i="38"/>
  <c r="D44" i="38"/>
  <c r="D43" i="38"/>
  <c r="D42" i="38"/>
  <c r="D41" i="38"/>
  <c r="D40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3" i="38"/>
  <c r="D22" i="38"/>
  <c r="D21" i="38"/>
  <c r="D20" i="38"/>
  <c r="D19" i="38"/>
  <c r="D18" i="38"/>
  <c r="D17" i="38"/>
  <c r="D14" i="38"/>
  <c r="D13" i="38"/>
</calcChain>
</file>

<file path=xl/sharedStrings.xml><?xml version="1.0" encoding="utf-8"?>
<sst xmlns="http://schemas.openxmlformats.org/spreadsheetml/2006/main" count="2135" uniqueCount="1180">
  <si>
    <t>т/ф 98-38-81, 98-38-82, г. Ярославль, Тормозное шоссе, д.3</t>
  </si>
  <si>
    <t>сайт: лесунас.рф</t>
  </si>
  <si>
    <t>e-mail: lesunas@mail.ru</t>
  </si>
  <si>
    <r>
      <t xml:space="preserve">Время работы: </t>
    </r>
    <r>
      <rPr>
        <sz val="16"/>
        <rFont val="Times New Roman"/>
        <family val="1"/>
        <charset val="204"/>
      </rPr>
      <t>без перерыва на обед</t>
    </r>
  </si>
  <si>
    <t xml:space="preserve">      Сб: с 9:00 до 15:00</t>
  </si>
  <si>
    <t>НАИМЕНОВАНИЕ</t>
  </si>
  <si>
    <r>
      <t>Цена руб. за м</t>
    </r>
    <r>
      <rPr>
        <b/>
        <vertAlign val="superscript"/>
        <sz val="22"/>
        <rFont val="Times New Roman"/>
        <family val="1"/>
        <charset val="204"/>
      </rPr>
      <t>3</t>
    </r>
  </si>
  <si>
    <t>Цена руб. за шт.</t>
  </si>
  <si>
    <t>50х50х3000</t>
  </si>
  <si>
    <t>ДОСКА ОБРЕЗНАЯ 1 СОРТ</t>
  </si>
  <si>
    <t>25х150х3000</t>
  </si>
  <si>
    <t>5 метровая</t>
  </si>
  <si>
    <t>50х200х5000</t>
  </si>
  <si>
    <t>6 метровая</t>
  </si>
  <si>
    <t>25х100х6000</t>
  </si>
  <si>
    <t>40х100х6000</t>
  </si>
  <si>
    <t>40х200х6000</t>
  </si>
  <si>
    <t>50х100х6000</t>
  </si>
  <si>
    <t>50х150х6000</t>
  </si>
  <si>
    <t>50х200х6000</t>
  </si>
  <si>
    <t>ДОСКА ОБРЕЗНАЯ 2 СОРТ</t>
  </si>
  <si>
    <t>25х100х3000</t>
  </si>
  <si>
    <t>25х150х6000</t>
  </si>
  <si>
    <t>100х100х6000</t>
  </si>
  <si>
    <t>100х150х6000</t>
  </si>
  <si>
    <t>БЛОК-ХАУС</t>
  </si>
  <si>
    <t>28х145х6000 сорт АВ</t>
  </si>
  <si>
    <t>38х190х6000 сорт АВ</t>
  </si>
  <si>
    <t>ЕВРОВАГОНКА ХВОЯ</t>
  </si>
  <si>
    <t>12,5х96х2800 сорт АВ</t>
  </si>
  <si>
    <t>12,5х96х3000 сорт АВ</t>
  </si>
  <si>
    <t>ДОСКА ПОЛА</t>
  </si>
  <si>
    <t>28х140х6000 сорт С</t>
  </si>
  <si>
    <t>38х140х6000 сорт С</t>
  </si>
  <si>
    <t>16х90х6000 сорт АВ</t>
  </si>
  <si>
    <t>18х96х4000 сорт АВ</t>
  </si>
  <si>
    <t>МЕБЕЛЬНЫЙ ЩИТ</t>
  </si>
  <si>
    <t>Сб: с 9:00 до 15:00</t>
  </si>
  <si>
    <t>ПИЛОМАТЕРИАЛ ОБРЕЗНОЙ</t>
  </si>
  <si>
    <r>
      <t>Кол-во шт. в м</t>
    </r>
    <r>
      <rPr>
        <b/>
        <vertAlign val="superscript"/>
        <sz val="22"/>
        <rFont val="Times New Roman"/>
        <family val="1"/>
        <charset val="204"/>
      </rPr>
      <t>3</t>
    </r>
  </si>
  <si>
    <t>БРУС ОБРЕЗНОЙ</t>
  </si>
  <si>
    <t>100х200х6000</t>
  </si>
  <si>
    <t>150х150х6000</t>
  </si>
  <si>
    <t>150х200х6000</t>
  </si>
  <si>
    <t>200х200х6000</t>
  </si>
  <si>
    <t>2 метровая</t>
  </si>
  <si>
    <t>25х80х2000</t>
  </si>
  <si>
    <t>25х100х2000</t>
  </si>
  <si>
    <t>25х150х2000</t>
  </si>
  <si>
    <t>40х100х2000</t>
  </si>
  <si>
    <t>40х200х2000</t>
  </si>
  <si>
    <t>50х100х2000</t>
  </si>
  <si>
    <t>50х150х2000</t>
  </si>
  <si>
    <t>50х200х2000</t>
  </si>
  <si>
    <t>3 метровая</t>
  </si>
  <si>
    <t>40х100х3000</t>
  </si>
  <si>
    <t>40х200х3000</t>
  </si>
  <si>
    <t>50х100х3000</t>
  </si>
  <si>
    <t>50х150х3000</t>
  </si>
  <si>
    <t>50х200х3000</t>
  </si>
  <si>
    <t>32х100х6000</t>
  </si>
  <si>
    <t>32х150х6000</t>
  </si>
  <si>
    <t>40х150х6000</t>
  </si>
  <si>
    <t>40х150х2000</t>
  </si>
  <si>
    <r>
      <t xml:space="preserve">Время работы: </t>
    </r>
    <r>
      <rPr>
        <sz val="36"/>
        <rFont val="Times New Roman"/>
        <family val="1"/>
        <charset val="204"/>
      </rPr>
      <t>без перерыва на обед</t>
    </r>
  </si>
  <si>
    <t>Евровагонка</t>
  </si>
  <si>
    <t>Профиль</t>
  </si>
  <si>
    <t>Кол-во 
в упак.</t>
  </si>
  <si>
    <t xml:space="preserve"> Площадь, закрываемая одной пачкой</t>
  </si>
  <si>
    <t>Цена 
за упак.</t>
  </si>
  <si>
    <r>
      <t>Цена 
за 1 м</t>
    </r>
    <r>
      <rPr>
        <b/>
        <vertAlign val="superscript"/>
        <sz val="28"/>
        <rFont val="Times New Roman"/>
        <family val="1"/>
        <charset val="204"/>
      </rPr>
      <t>2</t>
    </r>
  </si>
  <si>
    <r>
      <t>Цена
 за 1 м</t>
    </r>
    <r>
      <rPr>
        <b/>
        <vertAlign val="superscript"/>
        <sz val="28"/>
        <rFont val="Times New Roman"/>
        <family val="1"/>
        <charset val="204"/>
      </rPr>
      <t>3</t>
    </r>
  </si>
  <si>
    <t>12,5х96х2000 сорт С</t>
  </si>
  <si>
    <t>10 шт</t>
  </si>
  <si>
    <r>
      <t>1,8 м</t>
    </r>
    <r>
      <rPr>
        <vertAlign val="superscript"/>
        <sz val="36"/>
        <rFont val="Times New Roman"/>
        <family val="1"/>
        <charset val="204"/>
      </rPr>
      <t>2</t>
    </r>
  </si>
  <si>
    <t>12,5х96х2100 сорт С</t>
  </si>
  <si>
    <r>
      <t>1,89 м</t>
    </r>
    <r>
      <rPr>
        <vertAlign val="superscript"/>
        <sz val="36"/>
        <rFont val="Times New Roman"/>
        <family val="1"/>
        <charset val="204"/>
      </rPr>
      <t>2</t>
    </r>
  </si>
  <si>
    <t>12,5х96х2500 сорт С</t>
  </si>
  <si>
    <r>
      <t>2,47 м</t>
    </r>
    <r>
      <rPr>
        <vertAlign val="superscript"/>
        <sz val="36"/>
        <rFont val="Times New Roman"/>
        <family val="1"/>
        <charset val="204"/>
      </rPr>
      <t>2</t>
    </r>
  </si>
  <si>
    <t>12,5х96х2750 сорт С</t>
  </si>
  <si>
    <t>12,5х96х3000 сорт С</t>
  </si>
  <si>
    <r>
      <t>2,7 м</t>
    </r>
    <r>
      <rPr>
        <vertAlign val="superscript"/>
        <sz val="36"/>
        <rFont val="Times New Roman"/>
        <family val="1"/>
        <charset val="204"/>
      </rPr>
      <t>2</t>
    </r>
  </si>
  <si>
    <t>12,5х96х2000 сорт В</t>
  </si>
  <si>
    <t>12,5х96х1500 сорт АВ</t>
  </si>
  <si>
    <t>12,5х96х2000 сорт АВ</t>
  </si>
  <si>
    <t>12,5х96х2100 сорт АВ</t>
  </si>
  <si>
    <r>
      <t>2,295 м</t>
    </r>
    <r>
      <rPr>
        <vertAlign val="superscript"/>
        <sz val="36"/>
        <rFont val="Times New Roman"/>
        <family val="1"/>
        <charset val="204"/>
      </rPr>
      <t>2</t>
    </r>
  </si>
  <si>
    <t>12,5х96х2700 сорт АВ</t>
  </si>
  <si>
    <r>
      <t>2,43 м</t>
    </r>
    <r>
      <rPr>
        <vertAlign val="superscript"/>
        <sz val="36"/>
        <rFont val="Times New Roman"/>
        <family val="1"/>
        <charset val="204"/>
      </rPr>
      <t>2</t>
    </r>
  </si>
  <si>
    <r>
      <t>3,52 м</t>
    </r>
    <r>
      <rPr>
        <vertAlign val="superscript"/>
        <sz val="36"/>
        <rFont val="Times New Roman"/>
        <family val="1"/>
        <charset val="204"/>
      </rPr>
      <t>2</t>
    </r>
  </si>
  <si>
    <t>12,5х96х2000 сорт А</t>
  </si>
  <si>
    <t>12,5х96х2100 сорт А</t>
  </si>
  <si>
    <t>12,5х96х2500 сорт А</t>
  </si>
  <si>
    <t>12,5х96х2750 сорт А</t>
  </si>
  <si>
    <t>12,5х96х3000 сорт А</t>
  </si>
  <si>
    <t>12,5х96х4000 сорт А</t>
  </si>
  <si>
    <r>
      <t>5,4 м</t>
    </r>
    <r>
      <rPr>
        <vertAlign val="superscript"/>
        <sz val="36"/>
        <rFont val="Times New Roman"/>
        <family val="1"/>
        <charset val="204"/>
      </rPr>
      <t>2</t>
    </r>
  </si>
  <si>
    <t>ВАГОНКА ШТИЛЬ ХВОЯ</t>
  </si>
  <si>
    <t>Штиль(аналог евровагонки)</t>
  </si>
  <si>
    <t>7 шт.</t>
  </si>
  <si>
    <t>6 шт.</t>
  </si>
  <si>
    <t xml:space="preserve"> т/ф 98-38-81, 98-38-82, г. Ярославль, Тормозное шоссе, д.3</t>
  </si>
  <si>
    <t xml:space="preserve"> e-mail: lesunas@mail.ru</t>
  </si>
  <si>
    <r>
      <t xml:space="preserve">Время работы: </t>
    </r>
    <r>
      <rPr>
        <sz val="24"/>
        <rFont val="Times New Roman"/>
        <family val="1"/>
        <charset val="204"/>
      </rPr>
      <t>без перерыва на обед</t>
    </r>
  </si>
  <si>
    <t>Блок-хаус профил.сух.</t>
  </si>
  <si>
    <r>
      <t>Кол-во 
в 1 м</t>
    </r>
    <r>
      <rPr>
        <b/>
        <vertAlign val="superscript"/>
        <sz val="28"/>
        <rFont val="Times New Roman"/>
        <family val="1"/>
        <charset val="204"/>
      </rPr>
      <t>2</t>
    </r>
  </si>
  <si>
    <r>
      <t>Кол-во 
в 1 м</t>
    </r>
    <r>
      <rPr>
        <b/>
        <vertAlign val="superscript"/>
        <sz val="28"/>
        <rFont val="Times New Roman"/>
        <family val="1"/>
        <charset val="204"/>
      </rPr>
      <t>3</t>
    </r>
  </si>
  <si>
    <t>Цена 
за шт.</t>
  </si>
  <si>
    <t>1,23 шт.</t>
  </si>
  <si>
    <t>41 шт.</t>
  </si>
  <si>
    <t>30,6 шт.</t>
  </si>
  <si>
    <t>0,9 шт.</t>
  </si>
  <si>
    <t>23 шт.</t>
  </si>
  <si>
    <t>38х190х6000 сорт АВ плоский</t>
  </si>
  <si>
    <t>38х190х6000 сорт АВ круглый</t>
  </si>
  <si>
    <t>Доска пола, профил.сух.</t>
  </si>
  <si>
    <t>20х95х3000 сорт С</t>
  </si>
  <si>
    <t>3,7 шт.</t>
  </si>
  <si>
    <t>175,4 шт.</t>
  </si>
  <si>
    <t>42,5 шт.</t>
  </si>
  <si>
    <t>31,3 шт.</t>
  </si>
  <si>
    <t>20х95х3000 сорт АВ</t>
  </si>
  <si>
    <t>28х140х6000 сорт АВ</t>
  </si>
  <si>
    <t>1,19 шт.</t>
  </si>
  <si>
    <t>1,85 шт.</t>
  </si>
  <si>
    <t>46,1 шт.</t>
  </si>
  <si>
    <t>38х140х6000 сорт АВ</t>
  </si>
  <si>
    <t>47х145х6000 сорт АВ</t>
  </si>
  <si>
    <t>24,4 шт.</t>
  </si>
  <si>
    <t>ДОСКА СУХАЯ СТРОГАННАЯ</t>
  </si>
  <si>
    <t>Доска сухая строганная 6 м</t>
  </si>
  <si>
    <t>115,7 шт.</t>
  </si>
  <si>
    <t>1,75 шт.</t>
  </si>
  <si>
    <t>87,7 шт.</t>
  </si>
  <si>
    <t>35х90х6000 сорт АВ</t>
  </si>
  <si>
    <t>52,9 шт.</t>
  </si>
  <si>
    <t>34 шт.</t>
  </si>
  <si>
    <t>0,88 шт.</t>
  </si>
  <si>
    <t>45х90х6000 сорт АВ</t>
  </si>
  <si>
    <t>41,1 шт.</t>
  </si>
  <si>
    <t>48х190х6000 сорт АВ</t>
  </si>
  <si>
    <t>19,5 шт.</t>
  </si>
  <si>
    <t>50х140х6000 сорт АВ</t>
  </si>
  <si>
    <t>23,8 шт.</t>
  </si>
  <si>
    <t>Террасная 28х140х6000 сорт АВ</t>
  </si>
  <si>
    <t>Террасная 38х140х6000 сорт АВ</t>
  </si>
  <si>
    <t>38х140х3000 сорт С</t>
  </si>
  <si>
    <t>2,38 шт.</t>
  </si>
  <si>
    <t>62,6 шт.</t>
  </si>
  <si>
    <t>38х190х3000 сорт С</t>
  </si>
  <si>
    <r>
      <t xml:space="preserve">Время работы: </t>
    </r>
    <r>
      <rPr>
        <sz val="18"/>
        <rFont val="Times New Roman"/>
        <family val="1"/>
        <charset val="204"/>
      </rPr>
      <t>без перерыва на обед</t>
    </r>
  </si>
  <si>
    <t>ИМИТАЦИЯ БРУСА ИЗ ХВОИ</t>
  </si>
  <si>
    <t>Имитация бруса профил.</t>
  </si>
  <si>
    <r>
      <t>Цена 
за 1 м</t>
    </r>
    <r>
      <rPr>
        <b/>
        <vertAlign val="superscript"/>
        <sz val="16"/>
        <rFont val="Times New Roman"/>
        <family val="1"/>
        <charset val="204"/>
      </rPr>
      <t>2</t>
    </r>
  </si>
  <si>
    <r>
      <t>Цена
 за 1 м</t>
    </r>
    <r>
      <rPr>
        <b/>
        <vertAlign val="superscript"/>
        <sz val="16"/>
        <rFont val="Times New Roman"/>
        <family val="1"/>
        <charset val="204"/>
      </rPr>
      <t>3</t>
    </r>
  </si>
  <si>
    <t>10 шт.</t>
  </si>
  <si>
    <t xml:space="preserve">16х145х3000 сорт С </t>
  </si>
  <si>
    <t>18х145х6000 сорт С</t>
  </si>
  <si>
    <t>5 шт.</t>
  </si>
  <si>
    <t xml:space="preserve">16х145х3000 сорт АВ </t>
  </si>
  <si>
    <t xml:space="preserve">16х145х5000 сорт АВ </t>
  </si>
  <si>
    <t xml:space="preserve">16х145х6000 сорт АВ </t>
  </si>
  <si>
    <t>18х145х6000 сорт АВ</t>
  </si>
  <si>
    <t xml:space="preserve">20х145х3000 сорт АВ </t>
  </si>
  <si>
    <t xml:space="preserve">20х145х5000 сорт АВ </t>
  </si>
  <si>
    <t xml:space="preserve">20х145х6000 сорт АВ </t>
  </si>
  <si>
    <t>4 шт.</t>
  </si>
  <si>
    <t xml:space="preserve">20х190х3000 сорт АВ </t>
  </si>
  <si>
    <t>3 шт.</t>
  </si>
  <si>
    <t xml:space="preserve">20х190х4000 сорт АВ </t>
  </si>
  <si>
    <t xml:space="preserve">20х190х5000 сорт АВ </t>
  </si>
  <si>
    <t xml:space="preserve">20х190х6000 сорт АВ </t>
  </si>
  <si>
    <t>ПРОФИЛЬ</t>
  </si>
  <si>
    <t>Объем</t>
  </si>
  <si>
    <t>Цена за кан.</t>
  </si>
  <si>
    <r>
      <rPr>
        <b/>
        <sz val="14"/>
        <rFont val="Times New Roman"/>
        <family val="1"/>
        <charset val="204"/>
      </rPr>
      <t>СЕНЕЖ ЭКОБИО</t>
    </r>
    <r>
      <rPr>
        <sz val="14"/>
        <rFont val="Times New Roman"/>
        <family val="1"/>
        <charset val="204"/>
      </rPr>
      <t xml:space="preserve"> - 
экономичный бесцветный антисептик для помещений и деревянных конструкций под навесом</t>
    </r>
  </si>
  <si>
    <t>5 кг.</t>
  </si>
  <si>
    <t>10 кг.</t>
  </si>
  <si>
    <r>
      <rPr>
        <b/>
        <sz val="14"/>
        <rFont val="Times New Roman"/>
        <family val="1"/>
        <charset val="204"/>
      </rPr>
      <t>СЕНЕЖ БИО</t>
    </r>
    <r>
      <rPr>
        <sz val="14"/>
        <rFont val="Times New Roman"/>
        <family val="1"/>
        <charset val="204"/>
      </rPr>
      <t xml:space="preserve"> - 
консервирующий трудновымываемый антисептик для жилых объектов в тяжелых условиях эксплуатации</t>
    </r>
  </si>
  <si>
    <r>
      <rPr>
        <b/>
        <sz val="14"/>
        <rFont val="Times New Roman"/>
        <family val="1"/>
        <charset val="204"/>
      </rPr>
      <t>СЕНЕЖ УЛЬТРА</t>
    </r>
    <r>
      <rPr>
        <sz val="14"/>
        <rFont val="Times New Roman"/>
        <family val="1"/>
        <charset val="204"/>
      </rPr>
      <t xml:space="preserve"> - 
экономичный трудновымываемый антисептик для древесины наружной и внутренней службы</t>
    </r>
  </si>
  <si>
    <r>
      <rPr>
        <b/>
        <sz val="14"/>
        <rFont val="Times New Roman"/>
        <family val="1"/>
        <charset val="204"/>
      </rPr>
      <t xml:space="preserve">СЕНЕЖ - 
</t>
    </r>
    <r>
      <rPr>
        <sz val="14"/>
        <rFont val="Times New Roman"/>
        <family val="1"/>
        <charset val="204"/>
      </rPr>
      <t>консервирующий трудновымываемый антисептик для ответственных конструкций в тяжелых условиях эксплуатации</t>
    </r>
  </si>
  <si>
    <r>
      <rPr>
        <b/>
        <sz val="14"/>
        <rFont val="Times New Roman"/>
        <family val="1"/>
        <charset val="204"/>
      </rPr>
      <t>СЕНЕЖ ОГНЕБИО ПРОФ</t>
    </r>
    <r>
      <rPr>
        <sz val="14"/>
        <rFont val="Times New Roman"/>
        <family val="1"/>
        <charset val="204"/>
      </rPr>
      <t xml:space="preserve"> - комплексная огнебиозащита древесины с усиленным огнезащитным действием и контрольным тоннированием</t>
    </r>
  </si>
  <si>
    <t>6 кг.</t>
  </si>
  <si>
    <t>12 кг.</t>
  </si>
  <si>
    <t>Наименование материала</t>
  </si>
  <si>
    <t>Цена за шт.</t>
  </si>
  <si>
    <t>УТЕПЛИТЕЛЬ</t>
  </si>
  <si>
    <t>РУБЕРОИД</t>
  </si>
  <si>
    <t>РУБЕРОИД РКП 350 (о)  15 метров</t>
  </si>
  <si>
    <t>БЛОКИ</t>
  </si>
  <si>
    <t>Брикеты топливные RUF (12 брикетов в упаковке)</t>
  </si>
  <si>
    <r>
      <t xml:space="preserve">Время работы: </t>
    </r>
    <r>
      <rPr>
        <sz val="26"/>
        <rFont val="Times New Roman"/>
        <family val="1"/>
        <charset val="204"/>
      </rPr>
      <t>без перерыва на обед</t>
    </r>
  </si>
  <si>
    <t>ОРИЕНТИРОВАННО-СТРУЖЕЧНАЯ ПЛИТА</t>
  </si>
  <si>
    <t>Цена 
за лист.</t>
  </si>
  <si>
    <r>
      <t xml:space="preserve">Время работы: </t>
    </r>
    <r>
      <rPr>
        <sz val="14"/>
        <rFont val="Times New Roman"/>
        <family val="1"/>
        <charset val="204"/>
      </rPr>
      <t>без перерыва на обед</t>
    </r>
  </si>
  <si>
    <t>ПЛИНТУСА</t>
  </si>
  <si>
    <t>Плинтус гладкий 30/12/2500</t>
  </si>
  <si>
    <t>Плинтус гладкий 43/12/2500</t>
  </si>
  <si>
    <t>Плинтус гладкий 50/12/2500</t>
  </si>
  <si>
    <t>Плинтус гладкий 60/12/2500</t>
  </si>
  <si>
    <t>Плинтус гладкий 90/17/2500</t>
  </si>
  <si>
    <t>Плинтус гладкий 120/17/2500</t>
  </si>
  <si>
    <t>Плинтус фигурный 30/12/2500</t>
  </si>
  <si>
    <t>Плинтус фигурный 90/17/2500</t>
  </si>
  <si>
    <t>Плинтус равнополочный 50/12/2500</t>
  </si>
  <si>
    <t>Плинтус разнополочный 50/12/2500</t>
  </si>
  <si>
    <t>Плинтус евро 60/12/2500</t>
  </si>
  <si>
    <t>РАСКЛАДКА</t>
  </si>
  <si>
    <t>Раскладка гладкая 30/6/2500</t>
  </si>
  <si>
    <t>Раскладка гладкая 40/6/2500</t>
  </si>
  <si>
    <t>Раскладка гладкая 50/8/2500</t>
  </si>
  <si>
    <t>Раскладка фигурная 30/8/2500</t>
  </si>
  <si>
    <t>Раскладка сфера 40/8/2500</t>
  </si>
  <si>
    <t>Раскладка угловая 14/14/2500</t>
  </si>
  <si>
    <t>НАЛИЧНИК</t>
  </si>
  <si>
    <t>Наличник гладкий 50/12/2200</t>
  </si>
  <si>
    <t>Наличник гладкий 60/12/2200</t>
  </si>
  <si>
    <t>Наличник гладкий 65/12/1750</t>
  </si>
  <si>
    <t>Наличник гладкий 70/12/2200</t>
  </si>
  <si>
    <t>Наличник гладкий 80/12/2200</t>
  </si>
  <si>
    <t>Наличник гладкий 90/12/2200</t>
  </si>
  <si>
    <t>Наличник гладкий 100/12/2200</t>
  </si>
  <si>
    <t>Наличник гладкий 120/12/2200</t>
  </si>
  <si>
    <t>Наличник гладкий 140/12/2200</t>
  </si>
  <si>
    <t>Наличник сфера 50/12/2200</t>
  </si>
  <si>
    <t>Наличник сфера 60/12/2200</t>
  </si>
  <si>
    <t>Наличник сфера 70/12/2200</t>
  </si>
  <si>
    <t>Наличник сфера 80/12/2200</t>
  </si>
  <si>
    <t>Наличник сфера 90/12/2200</t>
  </si>
  <si>
    <t>Наличник сфера 100/12/2200</t>
  </si>
  <si>
    <t>Наличник сфера 120/12/2200</t>
  </si>
  <si>
    <t>Наличник фигурный 50/12/2200</t>
  </si>
  <si>
    <t>Наличник фигурный 60/12/2200</t>
  </si>
  <si>
    <t>Наличник фигурный 70/12/2200</t>
  </si>
  <si>
    <t>Наличник фигурный 80/12/2200</t>
  </si>
  <si>
    <t>Наличник фигурный 90/12/2200</t>
  </si>
  <si>
    <t>Наличник фигурный 100/12/2200</t>
  </si>
  <si>
    <t>Наличник фигурный 120/12/2200</t>
  </si>
  <si>
    <t>УГОЛОК</t>
  </si>
  <si>
    <t>Угол наружный гладкий 20/20/2500</t>
  </si>
  <si>
    <t>Угол наружный гладкий 30/30/2500</t>
  </si>
  <si>
    <t>Угол наружный гладкий 40/40/2500</t>
  </si>
  <si>
    <t>Угол наружный гладкий 50/50/2500</t>
  </si>
  <si>
    <t>Угол наружный гладкий 60/60/2500</t>
  </si>
  <si>
    <t>Угол наружный фигурный 30/30/2500</t>
  </si>
  <si>
    <t>Угол наружный фигурный 40/40/2500</t>
  </si>
  <si>
    <t>Угол внутренний фигурный 19/19/2500</t>
  </si>
  <si>
    <t>ШТАПИК</t>
  </si>
  <si>
    <t>Штапик оконный 10/10/2500</t>
  </si>
  <si>
    <t>Штапик квадратный 10/10/2500</t>
  </si>
  <si>
    <t>КОРОБКА ДВЕРНАЯ</t>
  </si>
  <si>
    <t>Коробка дверная 30/70/2100 А</t>
  </si>
  <si>
    <t>Коробка дверная 35/70/2100 В</t>
  </si>
  <si>
    <t>Коробка дверная 30/90/2100 А</t>
  </si>
  <si>
    <t>Коробка дверная 30/90/2100 В</t>
  </si>
  <si>
    <t>Коробка дверная 40/90/2100 В</t>
  </si>
  <si>
    <t>ЛЕСТНИЧНЫЙ ЭЛЕМЕНТ</t>
  </si>
  <si>
    <t>БАЛЯСИНЫ</t>
  </si>
  <si>
    <t>Балясина 50 №1</t>
  </si>
  <si>
    <t>Балясина 50 №2</t>
  </si>
  <si>
    <t>Балясина 50 №3</t>
  </si>
  <si>
    <t>Балясина 50 №5</t>
  </si>
  <si>
    <t>Балясина 50 №6</t>
  </si>
  <si>
    <t>Балясина 50 №9</t>
  </si>
  <si>
    <t>Балясина 50 №11</t>
  </si>
  <si>
    <t>Балясина 50 №15 Ф</t>
  </si>
  <si>
    <t>СТОЛБ НАЧАЛЬНЫЙ</t>
  </si>
  <si>
    <t>Столб начальный 90 №2</t>
  </si>
  <si>
    <t>Столб начальный 90 №9</t>
  </si>
  <si>
    <t>Столб начальный 90 №5</t>
  </si>
  <si>
    <t>Столб начальный 90 №15 Ф</t>
  </si>
  <si>
    <t>ПОРУЧЕНЬ</t>
  </si>
  <si>
    <t>Поручень 70/43/3000 под 50</t>
  </si>
  <si>
    <t>Поручень 70/43/4000 под 50</t>
  </si>
  <si>
    <t>Поворот 180 град. для ПР 70</t>
  </si>
  <si>
    <t>Окончание поручня (улитка) 70 град.</t>
  </si>
  <si>
    <t>ТЕТИВА</t>
  </si>
  <si>
    <t>Тетива 60х300х6000 сорт АВ</t>
  </si>
  <si>
    <t>Площадка 40х1000х1000 сорт АВ</t>
  </si>
  <si>
    <t>Площадка 40х1000х1200 сорт АВ</t>
  </si>
  <si>
    <t>Площадка 40х1200х1500 сорт АВ</t>
  </si>
  <si>
    <t>Мебельный щит 40х300х1000 сорт АВ</t>
  </si>
  <si>
    <t>Мебельный щит  40х300х1200 сорт АВ</t>
  </si>
  <si>
    <t>Мебельный щит (ступенька) 40х300х1000 сорт АВ</t>
  </si>
  <si>
    <t>Мебельный щит (ступенька) 40х300х1200 сорт АВ</t>
  </si>
  <si>
    <t>Мебельный щит (подступенька) 18х200х1000 сорт АВ</t>
  </si>
  <si>
    <t>Мебельный щит (подступенька) 18х200х1200 сорт АВ</t>
  </si>
  <si>
    <t>Мебельный щит 28х400х1000 сорт АВ</t>
  </si>
  <si>
    <t>Мебельный щит 28х400х2000 сорт АВ</t>
  </si>
  <si>
    <t>ИЗДЕЛИЯ ИЗ ОСИНЫ</t>
  </si>
  <si>
    <t>Цена</t>
  </si>
  <si>
    <t>ЕВРОВАГОНКА ИЗ ОСИНЫ 16х94 мм</t>
  </si>
  <si>
    <t>Евровагонка из осины сорт А 2 м</t>
  </si>
  <si>
    <t>Евровагонка из осины сорт А 2,1 м</t>
  </si>
  <si>
    <t>Евровагонка из осины сорт А 2,2 м</t>
  </si>
  <si>
    <t>Евровагонка из осины сорт А 2,3 м</t>
  </si>
  <si>
    <t>Евровагонка из осины сорт А 2,4 м</t>
  </si>
  <si>
    <t>Евровагонка из осины сорт А 2,5 м</t>
  </si>
  <si>
    <t>Евровагонка из осины сорт А 2,7 м</t>
  </si>
  <si>
    <t>Евровагонка из осины сорт А 3 м</t>
  </si>
  <si>
    <t>Евровагонка из осины сорт В 2 м</t>
  </si>
  <si>
    <t>Евровагонка из осины сорт В 2,1 м</t>
  </si>
  <si>
    <t>Евровагонка из осины сорт В 2,2 м</t>
  </si>
  <si>
    <t>Евровагонка из осины сорт В 2,3 м</t>
  </si>
  <si>
    <t>Евровагонка из осины сорт В 2,4 м</t>
  </si>
  <si>
    <t>Евровагонка из осины сорт В 2,5 м</t>
  </si>
  <si>
    <t>Евровагонка из осины сорт В 2,7 м</t>
  </si>
  <si>
    <t>Евровагонка из осины сорт В 3 м</t>
  </si>
  <si>
    <t>Раскладка сфера 35/12/3000 сорт А</t>
  </si>
  <si>
    <t>Раскладка сфера 40/7/2700 сорт А</t>
  </si>
  <si>
    <t>Раскладка сфера 40/7/3000 сорт А</t>
  </si>
  <si>
    <t>НАЛИЧНИК ИЗ ОСИНЫ</t>
  </si>
  <si>
    <t>Наличник гладкий 65/14/2200 сорт А</t>
  </si>
  <si>
    <t>ПЛИНТУС ИЗ ОСИНЫ</t>
  </si>
  <si>
    <t>Плинтус фигурный 45/11/3000 сорт А</t>
  </si>
  <si>
    <t>ПОЛОК ИЗ ОСИНЫ 28х92 мм</t>
  </si>
  <si>
    <t>Полок из осины сорт А 2 м</t>
  </si>
  <si>
    <t>Полок из осины сорт А 2,1 м</t>
  </si>
  <si>
    <t>Полок из осины сорт А 2,2 м</t>
  </si>
  <si>
    <t>Полок из осины сорт А 2,3 м</t>
  </si>
  <si>
    <t>Полок из осины сорт А 2,4 м</t>
  </si>
  <si>
    <t>Полок из осины сорт А 2,5 м</t>
  </si>
  <si>
    <t>Полок из осины сорт А 2,7 м</t>
  </si>
  <si>
    <t>Полок из осины сорт А 3 м</t>
  </si>
  <si>
    <t xml:space="preserve"> сайт: лесунас.рф</t>
  </si>
  <si>
    <t xml:space="preserve"> Сб: с 9:00 до 15:00</t>
  </si>
  <si>
    <t>Брусок естественной влажности</t>
  </si>
  <si>
    <t>25х50х2000</t>
  </si>
  <si>
    <t>25х50х3000</t>
  </si>
  <si>
    <t>30х50х3000</t>
  </si>
  <si>
    <t>40х40х3000</t>
  </si>
  <si>
    <t>40х50х3000</t>
  </si>
  <si>
    <t>50х70х3000</t>
  </si>
  <si>
    <t>20х40х3000</t>
  </si>
  <si>
    <t>20х50х3000</t>
  </si>
  <si>
    <t>30х40х3000</t>
  </si>
  <si>
    <t xml:space="preserve">Примечание: прайс является ориентировочным, </t>
  </si>
  <si>
    <t>Гвозди финишные (цинк)</t>
  </si>
  <si>
    <t xml:space="preserve">Шайба DIN 9021 увеличенная (цинк) </t>
  </si>
  <si>
    <t>00923</t>
  </si>
  <si>
    <t>1,6 х 20</t>
  </si>
  <si>
    <t>кг</t>
  </si>
  <si>
    <t>00885</t>
  </si>
  <si>
    <t>М6</t>
  </si>
  <si>
    <t>шт</t>
  </si>
  <si>
    <t>00922</t>
  </si>
  <si>
    <t>1,8 х 25</t>
  </si>
  <si>
    <t>00886</t>
  </si>
  <si>
    <t>М8</t>
  </si>
  <si>
    <t>00924</t>
  </si>
  <si>
    <t>1,6 х 30</t>
  </si>
  <si>
    <t>00877</t>
  </si>
  <si>
    <t>М10</t>
  </si>
  <si>
    <t>00925</t>
  </si>
  <si>
    <t>1,8 х 50</t>
  </si>
  <si>
    <t>00878</t>
  </si>
  <si>
    <t>М12</t>
  </si>
  <si>
    <t>00926</t>
  </si>
  <si>
    <t>2 х 60</t>
  </si>
  <si>
    <t>Бита Ritter WP магнитные (сталь S2)</t>
  </si>
  <si>
    <t xml:space="preserve">Кляймер из электротехн. стали </t>
  </si>
  <si>
    <t>00911</t>
  </si>
  <si>
    <t xml:space="preserve">PZ 1 х 50 мм </t>
  </si>
  <si>
    <t>00915</t>
  </si>
  <si>
    <t>3 мм. (по 100 шт)</t>
  </si>
  <si>
    <t>упак</t>
  </si>
  <si>
    <t>00913</t>
  </si>
  <si>
    <t>PZ 2 х 50 мм</t>
  </si>
  <si>
    <t>00916</t>
  </si>
  <si>
    <t>3,5 мм. (по 100 шт)</t>
  </si>
  <si>
    <t>00912</t>
  </si>
  <si>
    <t>PZ 3 х 50 мм</t>
  </si>
  <si>
    <t>00917</t>
  </si>
  <si>
    <t>00914</t>
  </si>
  <si>
    <t>PH 2 х 50 мм</t>
  </si>
  <si>
    <t>00918</t>
  </si>
  <si>
    <t xml:space="preserve">Саморезы потай круп. шаг по дереву (цинк) </t>
  </si>
  <si>
    <t>00919</t>
  </si>
  <si>
    <t>6 мм. (по 80 шт)</t>
  </si>
  <si>
    <t>00964</t>
  </si>
  <si>
    <t>3,5 х 16</t>
  </si>
  <si>
    <t xml:space="preserve">Гвозди строительные </t>
  </si>
  <si>
    <t>00965</t>
  </si>
  <si>
    <t>3,5 х 19</t>
  </si>
  <si>
    <t>01006</t>
  </si>
  <si>
    <t>2,5 х 50</t>
  </si>
  <si>
    <t>00966</t>
  </si>
  <si>
    <t>3,5 х 25</t>
  </si>
  <si>
    <t>00056</t>
  </si>
  <si>
    <t>2,5 х 60</t>
  </si>
  <si>
    <t>00967</t>
  </si>
  <si>
    <t>3,5 х 32</t>
  </si>
  <si>
    <t>01007</t>
  </si>
  <si>
    <t>3 х 70</t>
  </si>
  <si>
    <t>00968</t>
  </si>
  <si>
    <t>3,5 х 35</t>
  </si>
  <si>
    <t>01008</t>
  </si>
  <si>
    <t>3 х 80</t>
  </si>
  <si>
    <t>00974</t>
  </si>
  <si>
    <t>3,5 х 41</t>
  </si>
  <si>
    <t>01009</t>
  </si>
  <si>
    <t>3,5 х 90</t>
  </si>
  <si>
    <t>00969</t>
  </si>
  <si>
    <t>3,5 х 45</t>
  </si>
  <si>
    <t>00058</t>
  </si>
  <si>
    <t>3,9 х 100</t>
  </si>
  <si>
    <t>00970</t>
  </si>
  <si>
    <t>3,5 х 51</t>
  </si>
  <si>
    <t>01010</t>
  </si>
  <si>
    <t>4 х 100</t>
  </si>
  <si>
    <t>00971</t>
  </si>
  <si>
    <t>3,5 х 55</t>
  </si>
  <si>
    <t>01011</t>
  </si>
  <si>
    <t>4 х 120</t>
  </si>
  <si>
    <t>00972</t>
  </si>
  <si>
    <t>3,9 х 65</t>
  </si>
  <si>
    <t>01013</t>
  </si>
  <si>
    <t>4,8 х 120</t>
  </si>
  <si>
    <t>00975</t>
  </si>
  <si>
    <t>4,2 х 76</t>
  </si>
  <si>
    <t>01012</t>
  </si>
  <si>
    <t>5 х 150</t>
  </si>
  <si>
    <t>00976</t>
  </si>
  <si>
    <t>4,8 х 90</t>
  </si>
  <si>
    <t>00458</t>
  </si>
  <si>
    <t>6 х 200</t>
  </si>
  <si>
    <t>5 х 100</t>
  </si>
  <si>
    <t>00920</t>
  </si>
  <si>
    <t>7,6 х 250</t>
  </si>
  <si>
    <t>00880</t>
  </si>
  <si>
    <t>5 х 120</t>
  </si>
  <si>
    <t>00921</t>
  </si>
  <si>
    <t>8 х 300</t>
  </si>
  <si>
    <t>00881</t>
  </si>
  <si>
    <t>6 х 100</t>
  </si>
  <si>
    <t>Шуруп сантех. GL (Глухарь)</t>
  </si>
  <si>
    <t>00882</t>
  </si>
  <si>
    <t>6 х 120</t>
  </si>
  <si>
    <t>00854</t>
  </si>
  <si>
    <t>6 х 40</t>
  </si>
  <si>
    <t>00883</t>
  </si>
  <si>
    <t>6 х 140</t>
  </si>
  <si>
    <t>00897</t>
  </si>
  <si>
    <t>6 х 50</t>
  </si>
  <si>
    <t>00884</t>
  </si>
  <si>
    <t>6 х 160</t>
  </si>
  <si>
    <t>00855</t>
  </si>
  <si>
    <t>6 х 60</t>
  </si>
  <si>
    <t xml:space="preserve">Шурупы универсальные желтые (цинк) </t>
  </si>
  <si>
    <t>00898</t>
  </si>
  <si>
    <t>6 х 70</t>
  </si>
  <si>
    <t>00927</t>
  </si>
  <si>
    <t>3 х 20</t>
  </si>
  <si>
    <t>00899</t>
  </si>
  <si>
    <t>00928</t>
  </si>
  <si>
    <t>3 х 25</t>
  </si>
  <si>
    <t>00856</t>
  </si>
  <si>
    <t>00929</t>
  </si>
  <si>
    <t>3 х 40</t>
  </si>
  <si>
    <t>00857</t>
  </si>
  <si>
    <t>8 х 40</t>
  </si>
  <si>
    <t>00930</t>
  </si>
  <si>
    <t>3,5 х 50</t>
  </si>
  <si>
    <t>00858</t>
  </si>
  <si>
    <t>8 х 60</t>
  </si>
  <si>
    <t>00931</t>
  </si>
  <si>
    <t>4 х 40</t>
  </si>
  <si>
    <t>00859</t>
  </si>
  <si>
    <t>8 х 70</t>
  </si>
  <si>
    <t>00932</t>
  </si>
  <si>
    <t>4 х 50</t>
  </si>
  <si>
    <t>00860</t>
  </si>
  <si>
    <t>8 х 80</t>
  </si>
  <si>
    <t>00933</t>
  </si>
  <si>
    <t>4 х 70</t>
  </si>
  <si>
    <t>00861</t>
  </si>
  <si>
    <t>8 х 100</t>
  </si>
  <si>
    <t>00934</t>
  </si>
  <si>
    <t>5 х 40</t>
  </si>
  <si>
    <t>00862</t>
  </si>
  <si>
    <t>8 х 120</t>
  </si>
  <si>
    <t>00935</t>
  </si>
  <si>
    <t>5 х 50</t>
  </si>
  <si>
    <t>00863</t>
  </si>
  <si>
    <t>8 х 140</t>
  </si>
  <si>
    <t>00936</t>
  </si>
  <si>
    <t>5 х 60</t>
  </si>
  <si>
    <t>00864</t>
  </si>
  <si>
    <t>8 х 150</t>
  </si>
  <si>
    <t>00937</t>
  </si>
  <si>
    <t>5 х 70</t>
  </si>
  <si>
    <t>00865</t>
  </si>
  <si>
    <t>8 х 180</t>
  </si>
  <si>
    <t>00938</t>
  </si>
  <si>
    <t>5 х 80</t>
  </si>
  <si>
    <t>00866</t>
  </si>
  <si>
    <t>8 х 200</t>
  </si>
  <si>
    <t>00939</t>
  </si>
  <si>
    <t>5 х 90</t>
  </si>
  <si>
    <t>00867</t>
  </si>
  <si>
    <t>10 х 100</t>
  </si>
  <si>
    <t>00943</t>
  </si>
  <si>
    <t>00868</t>
  </si>
  <si>
    <t>10 х 120</t>
  </si>
  <si>
    <t>00944</t>
  </si>
  <si>
    <t>00869</t>
  </si>
  <si>
    <t>10 х 140</t>
  </si>
  <si>
    <t>00945</t>
  </si>
  <si>
    <t>00870</t>
  </si>
  <si>
    <t>10 х 160</t>
  </si>
  <si>
    <t>00940</t>
  </si>
  <si>
    <t>00871</t>
  </si>
  <si>
    <t>10 х 180</t>
  </si>
  <si>
    <t>00941</t>
  </si>
  <si>
    <t>6 х 80</t>
  </si>
  <si>
    <t>00900</t>
  </si>
  <si>
    <t>10 х 200</t>
  </si>
  <si>
    <t>00942</t>
  </si>
  <si>
    <t>6 х 90</t>
  </si>
  <si>
    <t>00872</t>
  </si>
  <si>
    <t>10 х 240</t>
  </si>
  <si>
    <t>00946</t>
  </si>
  <si>
    <t>00873</t>
  </si>
  <si>
    <t>10 х 260</t>
  </si>
  <si>
    <t>00874</t>
  </si>
  <si>
    <t>10 х 300</t>
  </si>
  <si>
    <t>00901</t>
  </si>
  <si>
    <t>12 х 200</t>
  </si>
  <si>
    <t>00875</t>
  </si>
  <si>
    <t>12 х 240</t>
  </si>
  <si>
    <t>00876</t>
  </si>
  <si>
    <t>12 х 300</t>
  </si>
  <si>
    <t xml:space="preserve">Саморезы потай круп. шаг по дереву (чёрные) </t>
  </si>
  <si>
    <t>Пластина соединительная PS</t>
  </si>
  <si>
    <t>00992</t>
  </si>
  <si>
    <t>40 х 100</t>
  </si>
  <si>
    <t>00947</t>
  </si>
  <si>
    <t>00993</t>
  </si>
  <si>
    <t>40 х 120</t>
  </si>
  <si>
    <t>00948</t>
  </si>
  <si>
    <t>00994</t>
  </si>
  <si>
    <t>60 х 140</t>
  </si>
  <si>
    <t>00949</t>
  </si>
  <si>
    <t>00995</t>
  </si>
  <si>
    <t>60 х 200</t>
  </si>
  <si>
    <t>00955</t>
  </si>
  <si>
    <t>3,5 х 31</t>
  </si>
  <si>
    <t>00996</t>
  </si>
  <si>
    <t>100 х 200</t>
  </si>
  <si>
    <t>00950</t>
  </si>
  <si>
    <t>00997</t>
  </si>
  <si>
    <t>100 х 240</t>
  </si>
  <si>
    <t>00956</t>
  </si>
  <si>
    <t>00998</t>
  </si>
  <si>
    <t>100 х 260</t>
  </si>
  <si>
    <t>00957</t>
  </si>
  <si>
    <t xml:space="preserve">Рулетки EFFECTA </t>
  </si>
  <si>
    <t>00958</t>
  </si>
  <si>
    <t>01000</t>
  </si>
  <si>
    <t>Nylon с магнитом, автостопом, нейлон 25 мм / 10 м</t>
  </si>
  <si>
    <t>00959</t>
  </si>
  <si>
    <t>00960</t>
  </si>
  <si>
    <t>01001</t>
  </si>
  <si>
    <t>Nylon с магнитом, автостопом, нейлон 19 мм / 3 м</t>
  </si>
  <si>
    <t>00951</t>
  </si>
  <si>
    <t>3,9 х 70</t>
  </si>
  <si>
    <t>00961</t>
  </si>
  <si>
    <t>4,2 х 75</t>
  </si>
  <si>
    <t>01002</t>
  </si>
  <si>
    <t>Simple 16 мм / 3 м</t>
  </si>
  <si>
    <t>00952</t>
  </si>
  <si>
    <t>00962</t>
  </si>
  <si>
    <t>01004</t>
  </si>
  <si>
    <t>Basic с магнитом 25 мм / 10 м</t>
  </si>
  <si>
    <t>00963</t>
  </si>
  <si>
    <t>4,8 х 100</t>
  </si>
  <si>
    <t>00973</t>
  </si>
  <si>
    <t>01005</t>
  </si>
  <si>
    <t>Basic с магнитом 19 мм / 3 м</t>
  </si>
  <si>
    <t>00953</t>
  </si>
  <si>
    <t>4,8 х 127</t>
  </si>
  <si>
    <t>00954</t>
  </si>
  <si>
    <t>4,8 х 152</t>
  </si>
  <si>
    <t>Диск отрезной по метал. "Луга-абразив"</t>
  </si>
  <si>
    <t xml:space="preserve">Крепежный уголок усиленный KUU </t>
  </si>
  <si>
    <t>00902</t>
  </si>
  <si>
    <t>115 х 1,2 х 22,23</t>
  </si>
  <si>
    <t>00977</t>
  </si>
  <si>
    <t>50 х 50 х 35 х 2,0</t>
  </si>
  <si>
    <t>00903</t>
  </si>
  <si>
    <t>125 х 1,2 х 22,23</t>
  </si>
  <si>
    <t>00991</t>
  </si>
  <si>
    <t>70 х 70 х 55 х 2,0</t>
  </si>
  <si>
    <t>00904</t>
  </si>
  <si>
    <t>125 х 1,6 х 22,23</t>
  </si>
  <si>
    <t>00978</t>
  </si>
  <si>
    <t>90 х 90 х 40 х 2,0</t>
  </si>
  <si>
    <t>00905</t>
  </si>
  <si>
    <t>125 х 2 х 22,23</t>
  </si>
  <si>
    <t>00979</t>
  </si>
  <si>
    <t>90 х 90 х 65 х 2,0</t>
  </si>
  <si>
    <t>00906</t>
  </si>
  <si>
    <t>125 х 2,5 х 22,23</t>
  </si>
  <si>
    <t>00980</t>
  </si>
  <si>
    <t>105 х 105 х 90 х 2,0</t>
  </si>
  <si>
    <t>00907</t>
  </si>
  <si>
    <t>150 х 1,6 х 22,23</t>
  </si>
  <si>
    <t>00981</t>
  </si>
  <si>
    <t>130 х 130 х 100 х 2,0</t>
  </si>
  <si>
    <t>00908</t>
  </si>
  <si>
    <t>150 х 2,5 х 22,23</t>
  </si>
  <si>
    <t>00887</t>
  </si>
  <si>
    <t>140 х 140 х 140 х 2,0</t>
  </si>
  <si>
    <t>00909</t>
  </si>
  <si>
    <t>180 х 1,6 х 22,23</t>
  </si>
  <si>
    <t xml:space="preserve">Крепежный уголок равносторонний KUR </t>
  </si>
  <si>
    <t>00910</t>
  </si>
  <si>
    <t>180 х 2,5 х 22,23</t>
  </si>
  <si>
    <t>00888</t>
  </si>
  <si>
    <t>30 х 30 х 30</t>
  </si>
  <si>
    <t>00890</t>
  </si>
  <si>
    <t>40 х 40 х 20</t>
  </si>
  <si>
    <t>00889</t>
  </si>
  <si>
    <t>40 х 40 х 40</t>
  </si>
  <si>
    <t>00891</t>
  </si>
  <si>
    <t>50 х 50 х 50</t>
  </si>
  <si>
    <t xml:space="preserve">Крепежный уголок KU </t>
  </si>
  <si>
    <t>00982</t>
  </si>
  <si>
    <t>00983</t>
  </si>
  <si>
    <t>00984</t>
  </si>
  <si>
    <t>00985</t>
  </si>
  <si>
    <t>00986</t>
  </si>
  <si>
    <t xml:space="preserve">Опора бруса OBR-R </t>
  </si>
  <si>
    <t>00987</t>
  </si>
  <si>
    <t>41 х 110 х 2</t>
  </si>
  <si>
    <t>00988</t>
  </si>
  <si>
    <t>50 х 107 х 2</t>
  </si>
  <si>
    <t>00892</t>
  </si>
  <si>
    <t>50 х 140</t>
  </si>
  <si>
    <t>00989</t>
  </si>
  <si>
    <t>50 х 165 х 2</t>
  </si>
  <si>
    <t>00999</t>
  </si>
  <si>
    <t>50 х 185</t>
  </si>
  <si>
    <t>00893</t>
  </si>
  <si>
    <t>100 х 100</t>
  </si>
  <si>
    <t>00894</t>
  </si>
  <si>
    <t>100 х 140</t>
  </si>
  <si>
    <t>00896</t>
  </si>
  <si>
    <t>00990</t>
  </si>
  <si>
    <t>150 х 150 х 2</t>
  </si>
  <si>
    <t>12,5х96х2700 сорт С</t>
  </si>
  <si>
    <t>Раскладка полувалик 15/15/2500</t>
  </si>
  <si>
    <t>Угол наружный гладкий 27/27/2200</t>
  </si>
  <si>
    <t>Нащельник "грибок" 43/3000 сорт А</t>
  </si>
  <si>
    <t>РАСКЛАДКА И НАЩЕЛЬНИК ИЗ ОСИНЫ</t>
  </si>
  <si>
    <t>Примечание: прайс является ориентировочным, наличие и конечные цены необходимо уточнять у менеджера</t>
  </si>
  <si>
    <t>наличие и конечные цены необходимо уточнять у менеджера</t>
  </si>
  <si>
    <t>25х200х6000</t>
  </si>
  <si>
    <t>12,5х96х6000 сорт АВ</t>
  </si>
  <si>
    <t>12,5х96х3000 сорт В</t>
  </si>
  <si>
    <t>Мебельный щит (подступенька) 18х200х800 сорт АВ</t>
  </si>
  <si>
    <t>Мебельный щит (ступенька) 40х300х800 сорт АВ</t>
  </si>
  <si>
    <t>28х145х6000 сорт ВС</t>
  </si>
  <si>
    <t>38х143х6000 сорт ВС</t>
  </si>
  <si>
    <t>38х190х6000 сорт ВС круглый</t>
  </si>
  <si>
    <t xml:space="preserve">ОСП-3, влагостойкая
1250х2500 мм </t>
  </si>
  <si>
    <t>4 метровая</t>
  </si>
  <si>
    <t>Плинтус фигурный 43/12/2500</t>
  </si>
  <si>
    <t>Наименование</t>
  </si>
  <si>
    <t>Брусок сухой строганый</t>
  </si>
  <si>
    <t xml:space="preserve"> Сорт АВ</t>
  </si>
  <si>
    <t>Сорт С</t>
  </si>
  <si>
    <t>1 сорт</t>
  </si>
  <si>
    <t>2 сорт</t>
  </si>
  <si>
    <r>
      <t>Кол-во 
шт. в м</t>
    </r>
    <r>
      <rPr>
        <b/>
        <vertAlign val="superscript"/>
        <sz val="22"/>
        <rFont val="Times New Roman"/>
        <family val="1"/>
        <charset val="204"/>
      </rPr>
      <t>3</t>
    </r>
  </si>
  <si>
    <t>Цена руб. 
за шт.</t>
  </si>
  <si>
    <r>
      <t>Цена руб. 
за м</t>
    </r>
    <r>
      <rPr>
        <b/>
        <vertAlign val="superscript"/>
        <sz val="22"/>
        <rFont val="Times New Roman"/>
        <family val="1"/>
        <charset val="204"/>
      </rPr>
      <t>3</t>
    </r>
  </si>
  <si>
    <t>АКЦИОННЫЙ ЛИСТ</t>
  </si>
  <si>
    <t>12,5х96х2700 сорт В</t>
  </si>
  <si>
    <t>12,5х96х2700 сорт А</t>
  </si>
  <si>
    <t>2 сорт 100х100х6000</t>
  </si>
  <si>
    <t>Наличник гладкий 70/16/2200 сорт А</t>
  </si>
  <si>
    <t>16х90х6000 сорт С</t>
  </si>
  <si>
    <t>50х150х5000</t>
  </si>
  <si>
    <r>
      <t>4,97 м</t>
    </r>
    <r>
      <rPr>
        <vertAlign val="superscript"/>
        <sz val="16"/>
        <rFont val="Times New Roman"/>
        <family val="1"/>
        <charset val="204"/>
      </rPr>
      <t>2</t>
    </r>
  </si>
  <si>
    <r>
      <t>2,025 м</t>
    </r>
    <r>
      <rPr>
        <vertAlign val="superscript"/>
        <sz val="16"/>
        <rFont val="Times New Roman"/>
        <family val="1"/>
        <charset val="204"/>
      </rPr>
      <t>2</t>
    </r>
  </si>
  <si>
    <r>
      <t>3,375 м</t>
    </r>
    <r>
      <rPr>
        <vertAlign val="superscript"/>
        <sz val="16"/>
        <rFont val="Times New Roman"/>
        <family val="1"/>
        <charset val="204"/>
      </rPr>
      <t>2</t>
    </r>
  </si>
  <si>
    <r>
      <t>4,05 м</t>
    </r>
    <r>
      <rPr>
        <vertAlign val="superscript"/>
        <sz val="16"/>
        <rFont val="Times New Roman"/>
        <family val="1"/>
        <charset val="204"/>
      </rPr>
      <t>2</t>
    </r>
  </si>
  <si>
    <r>
      <t>1,62 м</t>
    </r>
    <r>
      <rPr>
        <vertAlign val="superscript"/>
        <sz val="16"/>
        <rFont val="Times New Roman"/>
        <family val="1"/>
        <charset val="204"/>
      </rPr>
      <t>2</t>
    </r>
  </si>
  <si>
    <r>
      <t>2,16 м</t>
    </r>
    <r>
      <rPr>
        <vertAlign val="superscript"/>
        <sz val="16"/>
        <rFont val="Times New Roman"/>
        <family val="1"/>
        <charset val="204"/>
      </rPr>
      <t>2</t>
    </r>
  </si>
  <si>
    <r>
      <t>2,7 м</t>
    </r>
    <r>
      <rPr>
        <vertAlign val="superscript"/>
        <sz val="16"/>
        <rFont val="Times New Roman"/>
        <family val="1"/>
        <charset val="204"/>
      </rPr>
      <t>2</t>
    </r>
  </si>
  <si>
    <r>
      <t>3,24 м</t>
    </r>
    <r>
      <rPr>
        <vertAlign val="superscript"/>
        <sz val="16"/>
        <rFont val="Times New Roman"/>
        <family val="1"/>
        <charset val="204"/>
      </rPr>
      <t>2</t>
    </r>
  </si>
  <si>
    <t>9 мм (Талион)</t>
  </si>
  <si>
    <t xml:space="preserve">20х145х3000 сорт С </t>
  </si>
  <si>
    <t xml:space="preserve">21х146х5000 сорт А </t>
  </si>
  <si>
    <t>12,5х96х2100 сорт В</t>
  </si>
  <si>
    <t>12,5х96х2500 сорт В</t>
  </si>
  <si>
    <t>173,6 шт.</t>
  </si>
  <si>
    <t>25х150х4000</t>
  </si>
  <si>
    <t>Плинтус гладкий 20/12/2500</t>
  </si>
  <si>
    <t>2,6 шт.</t>
  </si>
  <si>
    <t>Доска сухая строганная 
от 1,5 м до 5 м</t>
  </si>
  <si>
    <r>
      <t>3,6 м</t>
    </r>
    <r>
      <rPr>
        <vertAlign val="superscript"/>
        <sz val="16"/>
        <color rgb="FFFF0000"/>
        <rFont val="Times New Roman"/>
        <family val="1"/>
        <charset val="204"/>
      </rPr>
      <t>2</t>
    </r>
  </si>
  <si>
    <t>20х145х6000 сорт АВ</t>
  </si>
  <si>
    <t>1,15 шт.</t>
  </si>
  <si>
    <t>20х145х3000 сорт АВ</t>
  </si>
  <si>
    <t>20х145х4000 сорт АВ</t>
  </si>
  <si>
    <t>20х145х5000 сорт АВ</t>
  </si>
  <si>
    <t>2,3 шт.</t>
  </si>
  <si>
    <t>1,72 шт.</t>
  </si>
  <si>
    <t>1,38 шт.</t>
  </si>
  <si>
    <r>
      <t>4,86 м</t>
    </r>
    <r>
      <rPr>
        <vertAlign val="superscript"/>
        <sz val="16"/>
        <rFont val="Times New Roman"/>
        <family val="1"/>
        <charset val="204"/>
      </rPr>
      <t>2</t>
    </r>
  </si>
  <si>
    <r>
      <t>2,43 м</t>
    </r>
    <r>
      <rPr>
        <vertAlign val="superscript"/>
        <sz val="16"/>
        <rFont val="Times New Roman"/>
        <family val="1"/>
        <charset val="204"/>
      </rPr>
      <t>2</t>
    </r>
  </si>
  <si>
    <t>3,47 шт.</t>
  </si>
  <si>
    <t>25х35х3000</t>
  </si>
  <si>
    <t>25х100х4000</t>
  </si>
  <si>
    <t>20х96х3000 сорт АВ</t>
  </si>
  <si>
    <r>
      <t>"Изорок ИЗОЛАЙТ" П-50, 8 плит по 50 мм,
базальт 4,8 м</t>
    </r>
    <r>
      <rPr>
        <vertAlign val="superscript"/>
        <sz val="16"/>
        <rFont val="Times New Roman"/>
        <family val="1"/>
        <charset val="204"/>
      </rPr>
      <t>2</t>
    </r>
    <r>
      <rPr>
        <sz val="16"/>
        <rFont val="Times New Roman"/>
        <family val="1"/>
        <charset val="204"/>
      </rPr>
      <t>, 400х600х1000 мм, 0,24 м</t>
    </r>
    <r>
      <rPr>
        <vertAlign val="superscript"/>
        <sz val="16"/>
        <rFont val="Times New Roman"/>
        <family val="1"/>
        <charset val="204"/>
      </rPr>
      <t>3</t>
    </r>
  </si>
  <si>
    <r>
      <t>"Изорок УЛЬТРАЛАЙТ" П-33, 8 плит по 50 мм,
базальт 5,76 м</t>
    </r>
    <r>
      <rPr>
        <vertAlign val="superscript"/>
        <sz val="16"/>
        <rFont val="Times New Roman"/>
        <family val="1"/>
        <charset val="204"/>
      </rPr>
      <t>2</t>
    </r>
    <r>
      <rPr>
        <sz val="16"/>
        <rFont val="Times New Roman"/>
        <family val="1"/>
        <charset val="204"/>
      </rPr>
      <t>, 400х600х1200 мм, 0,288 м</t>
    </r>
    <r>
      <rPr>
        <vertAlign val="superscript"/>
        <sz val="16"/>
        <rFont val="Times New Roman"/>
        <family val="1"/>
        <charset val="204"/>
      </rPr>
      <t>3</t>
    </r>
  </si>
  <si>
    <t>ТОПЛИВНЫЕ БРИКЕТЫ</t>
  </si>
  <si>
    <r>
      <t>"Изорок ИЗОЛАЙТ" П-50, 4 плиты по 100 мм,
базальт 2,4 м</t>
    </r>
    <r>
      <rPr>
        <vertAlign val="superscript"/>
        <sz val="16"/>
        <rFont val="Times New Roman"/>
        <family val="1"/>
        <charset val="204"/>
      </rPr>
      <t>2</t>
    </r>
    <r>
      <rPr>
        <sz val="16"/>
        <rFont val="Times New Roman"/>
        <family val="1"/>
        <charset val="204"/>
      </rPr>
      <t>, 400х600х1000 мм, 0,24 м</t>
    </r>
    <r>
      <rPr>
        <vertAlign val="superscript"/>
        <sz val="16"/>
        <rFont val="Times New Roman"/>
        <family val="1"/>
        <charset val="204"/>
      </rPr>
      <t>3</t>
    </r>
  </si>
  <si>
    <t>1,8 х 40</t>
  </si>
  <si>
    <t>40х150х5000</t>
  </si>
  <si>
    <t>40х200х5000</t>
  </si>
  <si>
    <t>20х145х3000 сорт С</t>
  </si>
  <si>
    <t>20х96х3000 сорт C</t>
  </si>
  <si>
    <t>50х100х4000</t>
  </si>
  <si>
    <t>50х150х4000</t>
  </si>
  <si>
    <t>Плинтус гладкий 40/12/2500</t>
  </si>
  <si>
    <t xml:space="preserve">БРУС КЛЕЕНЫЙ </t>
  </si>
  <si>
    <t>120х120х6000 сорт АВ</t>
  </si>
  <si>
    <t>70х70х6000 сорт АВ</t>
  </si>
  <si>
    <t>90х90х6000 сорт АВ</t>
  </si>
  <si>
    <t>150х150х6000 сорт АВ</t>
  </si>
  <si>
    <t>Ведро-запарник 10 литров</t>
  </si>
  <si>
    <t>Ведро-запарник 18 литров</t>
  </si>
  <si>
    <t>Вешалка 5-ти секционная</t>
  </si>
  <si>
    <t>Вешалка для полотенец</t>
  </si>
  <si>
    <t>Вешалка угловая</t>
  </si>
  <si>
    <t>Вешалка-полка на 60 см</t>
  </si>
  <si>
    <t>Дверь 73х177  (коробка осина)</t>
  </si>
  <si>
    <t>Дверь 73х177 (коробка хвоя)</t>
  </si>
  <si>
    <t>Задвижка вентиляционная бол.</t>
  </si>
  <si>
    <t>Задвижка вентиляционная мал.</t>
  </si>
  <si>
    <t>Запарник 14 литров</t>
  </si>
  <si>
    <t>Запарник 14 литров со вставкой</t>
  </si>
  <si>
    <t>Запарник большой 32 литра</t>
  </si>
  <si>
    <t>Запарник большой 32 литра со вставкой</t>
  </si>
  <si>
    <t>Запарник для трав 8 литров</t>
  </si>
  <si>
    <t>Кадушка 20 литров</t>
  </si>
  <si>
    <t>Кадушка 40-50 литров</t>
  </si>
  <si>
    <t>Ковш</t>
  </si>
  <si>
    <t>Наличник гладкий 70/15/2000 из осины сорт А</t>
  </si>
  <si>
    <t>Нащельник 30/10/2700 из осины сорт А</t>
  </si>
  <si>
    <t>Плинтус гладкий 35/8/2700 из осины сорт А</t>
  </si>
  <si>
    <t>Плинтус фигурный 50/8/2700 из осины сорт А</t>
  </si>
  <si>
    <t>Подголовник простой</t>
  </si>
  <si>
    <t>Подголовник фигурный</t>
  </si>
  <si>
    <t>Полка малая</t>
  </si>
  <si>
    <t>Полог сборный узкий 35х2000</t>
  </si>
  <si>
    <t>Полог сборный широкий 55х2000</t>
  </si>
  <si>
    <t>Русский душ</t>
  </si>
  <si>
    <t>Ручка большая</t>
  </si>
  <si>
    <t>Ручка малая</t>
  </si>
  <si>
    <t>Ручка точеная (пара)</t>
  </si>
  <si>
    <t>Светильник большой</t>
  </si>
  <si>
    <t>Светильник малый</t>
  </si>
  <si>
    <t>Скамья 1,2 м полог (без спинки)</t>
  </si>
  <si>
    <t>Скамья 1,5 м полог (без спинки)</t>
  </si>
  <si>
    <t>Скамья со спинкой  1,5 м</t>
  </si>
  <si>
    <t>Скамья со спинкой 1,2 м</t>
  </si>
  <si>
    <t>Стол раскладной 50х60</t>
  </si>
  <si>
    <t>Стол сборный 65х120</t>
  </si>
  <si>
    <t>Стол сборный 70х150</t>
  </si>
  <si>
    <t>Стул детский</t>
  </si>
  <si>
    <t>Табурет высокий</t>
  </si>
  <si>
    <t>Табурет низкий</t>
  </si>
  <si>
    <t>Табурет раскладной</t>
  </si>
  <si>
    <t>Трапик узкий 30*80</t>
  </si>
  <si>
    <t>Трапик широкий 50*80</t>
  </si>
  <si>
    <t>Ушат малый</t>
  </si>
  <si>
    <t>Шайка 5 литров</t>
  </si>
  <si>
    <t>Нащельник 30/10/2700 сорт А</t>
  </si>
  <si>
    <t>165р.</t>
  </si>
  <si>
    <t>Наличник гладкий 70/15/2000 сорт А</t>
  </si>
  <si>
    <t>400р.</t>
  </si>
  <si>
    <t>Плинтус гладкий 35/8/2700 сорт А</t>
  </si>
  <si>
    <t>Плинтус фигурный 50/8/2700 сорт А</t>
  </si>
  <si>
    <t>160р.</t>
  </si>
  <si>
    <t>210р.</t>
  </si>
  <si>
    <t>13х146х6000 сорт АВ</t>
  </si>
  <si>
    <t>13х146х5000 сорт АВ</t>
  </si>
  <si>
    <t>13х146х4000 сорт АВ</t>
  </si>
  <si>
    <t>13х146х3000 сорт АВ</t>
  </si>
  <si>
    <r>
      <t>5,754 м</t>
    </r>
    <r>
      <rPr>
        <vertAlign val="superscript"/>
        <sz val="36"/>
        <rFont val="Times New Roman"/>
        <family val="1"/>
        <charset val="204"/>
      </rPr>
      <t>2</t>
    </r>
  </si>
  <si>
    <r>
      <t>4,795 м</t>
    </r>
    <r>
      <rPr>
        <vertAlign val="superscript"/>
        <sz val="36"/>
        <rFont val="Times New Roman"/>
        <family val="1"/>
        <charset val="204"/>
      </rPr>
      <t>2</t>
    </r>
  </si>
  <si>
    <r>
      <t>3,836 м</t>
    </r>
    <r>
      <rPr>
        <vertAlign val="superscript"/>
        <sz val="36"/>
        <rFont val="Times New Roman"/>
        <family val="1"/>
        <charset val="204"/>
      </rPr>
      <t>2</t>
    </r>
  </si>
  <si>
    <r>
      <t>2,877 м</t>
    </r>
    <r>
      <rPr>
        <vertAlign val="superscript"/>
        <sz val="36"/>
        <rFont val="Times New Roman"/>
        <family val="1"/>
        <charset val="204"/>
      </rPr>
      <t>2</t>
    </r>
  </si>
  <si>
    <t>50х50х2000</t>
  </si>
  <si>
    <r>
      <t>2,7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</si>
  <si>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1,35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</si>
  <si>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1,8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</si>
  <si>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1,89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</si>
  <si>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2,43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</si>
  <si>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2,52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</si>
  <si>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2,47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</si>
  <si>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2,475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</si>
  <si>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2,8 м</t>
    </r>
    <r>
      <rPr>
        <vertAlign val="superscript"/>
        <sz val="16"/>
        <color rgb="FFFF0000"/>
        <rFont val="Times New Roman"/>
        <family val="1"/>
        <charset val="204"/>
      </rPr>
      <t>2</t>
    </r>
  </si>
  <si>
    <t xml:space="preserve">21х146х5500 сорт А </t>
  </si>
  <si>
    <r>
      <t>3,08 м</t>
    </r>
    <r>
      <rPr>
        <vertAlign val="superscript"/>
        <sz val="16"/>
        <color rgb="FFFF0000"/>
        <rFont val="Times New Roman"/>
        <family val="1"/>
        <charset val="204"/>
      </rPr>
      <t>2</t>
    </r>
  </si>
  <si>
    <r>
      <t>2,43 м</t>
    </r>
    <r>
      <rPr>
        <vertAlign val="superscript"/>
        <sz val="16"/>
        <color rgb="FFFF0000"/>
        <rFont val="Times New Roman"/>
        <family val="1"/>
        <charset val="204"/>
      </rPr>
      <t>2</t>
    </r>
  </si>
  <si>
    <t>47х145х1890 сорт АВ</t>
  </si>
  <si>
    <t>3,92 шт.</t>
  </si>
  <si>
    <t>28х145х3000 сорт АВ</t>
  </si>
  <si>
    <t>2,46 шт.</t>
  </si>
  <si>
    <t>82 шт.</t>
  </si>
  <si>
    <t>38х190х2000 сорт ВС круглый</t>
  </si>
  <si>
    <t>38х190х3000 сорт ВС круглый</t>
  </si>
  <si>
    <t>38х190х5000 сорт ВС круглый</t>
  </si>
  <si>
    <t>1,8 шт.</t>
  </si>
  <si>
    <t>46 шт.</t>
  </si>
  <si>
    <t>2,7 шт.</t>
  </si>
  <si>
    <t>69 шт.</t>
  </si>
  <si>
    <t>1,08 шт.</t>
  </si>
  <si>
    <t>27,7 шт.</t>
  </si>
  <si>
    <t>38х190х4000 сорт АВ плоский</t>
  </si>
  <si>
    <t>1,35 шт.</t>
  </si>
  <si>
    <t>34,5 шт.</t>
  </si>
  <si>
    <t>13х90х3000 сорт В</t>
  </si>
  <si>
    <r>
      <t>1,764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</si>
  <si>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t>P</t>
  </si>
  <si>
    <t>БРУСОК ЕСТЕСТВЕННОЙ ВЛАЖНОСТИ 2 СОРТ</t>
  </si>
  <si>
    <t>90р.</t>
  </si>
  <si>
    <t>135р.</t>
  </si>
  <si>
    <t>БРУСОК ЕСТЕСТВЕННОЙ ВЛАЖНОСТИ 1 СОРТ</t>
  </si>
  <si>
    <t>189р.</t>
  </si>
  <si>
    <t>143р.</t>
  </si>
  <si>
    <t xml:space="preserve">ДОСКА СУХАЯ СТРОГАННАЯ </t>
  </si>
  <si>
    <t>271р.</t>
  </si>
  <si>
    <t>17 000р.</t>
  </si>
  <si>
    <t>25 000р.</t>
  </si>
  <si>
    <t>684р.</t>
  </si>
  <si>
    <t>НАЩЕЛЬНИК "ГРИБОК"</t>
  </si>
  <si>
    <t>43/3000 сорт А</t>
  </si>
  <si>
    <t>100р.</t>
  </si>
  <si>
    <t>ЕВРОВАГОНКА СОРТ С</t>
  </si>
  <si>
    <t>12,5х96х2000</t>
  </si>
  <si>
    <t>600р.</t>
  </si>
  <si>
    <t>12,5х96х2100</t>
  </si>
  <si>
    <t>33 000р.</t>
  </si>
  <si>
    <t>35 000р.</t>
  </si>
  <si>
    <t>12,5х96х2700</t>
  </si>
  <si>
    <t>12,5х96х2750</t>
  </si>
  <si>
    <t>825р.</t>
  </si>
  <si>
    <t>12,5х96х3000</t>
  </si>
  <si>
    <t>900р.</t>
  </si>
  <si>
    <t>ЕВРОВАГОНКА СОРТ АВ</t>
  </si>
  <si>
    <t>12,5х96х1500</t>
  </si>
  <si>
    <t>38 000р.</t>
  </si>
  <si>
    <t>40 000р.</t>
  </si>
  <si>
    <t>912р.</t>
  </si>
  <si>
    <t>958р.</t>
  </si>
  <si>
    <t>12,5х96х2800</t>
  </si>
  <si>
    <t>ЕВРОВАГОНКА СОРТ А</t>
  </si>
  <si>
    <t>1008р.</t>
  </si>
  <si>
    <t>1320р.</t>
  </si>
  <si>
    <t>ВАГОНКА ШТИЛЬ СОРТ В</t>
  </si>
  <si>
    <t>13х90х3000</t>
  </si>
  <si>
    <t>88р.</t>
  </si>
  <si>
    <t xml:space="preserve">ИМИТАЦИЯ БРУСА </t>
  </si>
  <si>
    <t>37 000р.</t>
  </si>
  <si>
    <t>256р.</t>
  </si>
  <si>
    <t>21х146х5000 сорт А</t>
  </si>
  <si>
    <t>21х146х5500 сорт А</t>
  </si>
  <si>
    <t>537р.</t>
  </si>
  <si>
    <t>590р.</t>
  </si>
  <si>
    <t>24 000р.</t>
  </si>
  <si>
    <t>782р.</t>
  </si>
  <si>
    <t>38х190х2000 сорт ВС</t>
  </si>
  <si>
    <t>38х190х3000 сорт ВС</t>
  </si>
  <si>
    <t>38х190х5000 сорт ВС</t>
  </si>
  <si>
    <t>347р.</t>
  </si>
  <si>
    <t>520р.</t>
  </si>
  <si>
    <t>866р.</t>
  </si>
  <si>
    <t>402р.</t>
  </si>
  <si>
    <t>38х190х4000 сорт АВ</t>
  </si>
  <si>
    <t>1011р.</t>
  </si>
  <si>
    <t>1560р.</t>
  </si>
  <si>
    <t>БЛОК-ХАУС ПЛОСКИЙ</t>
  </si>
  <si>
    <t>БЛОК-ХАУС КРУГЛЫЙ</t>
  </si>
  <si>
    <t>18 000р.</t>
  </si>
  <si>
    <t>12 000р.</t>
  </si>
  <si>
    <t>1 277р.</t>
  </si>
  <si>
    <t>1 231р.</t>
  </si>
  <si>
    <t>1 368р.</t>
  </si>
  <si>
    <t xml:space="preserve"> гладкий 65/12/1750</t>
  </si>
  <si>
    <t>СОСНА</t>
  </si>
  <si>
    <t>наружный гладкий 27/27/2200</t>
  </si>
  <si>
    <t>2 сорт 200х200х6000</t>
  </si>
  <si>
    <t>Цена.</t>
  </si>
  <si>
    <t>13х146х3000 сорт С</t>
  </si>
  <si>
    <t xml:space="preserve">16х123х3000 сорт С </t>
  </si>
  <si>
    <r>
      <t>2,088 м</t>
    </r>
    <r>
      <rPr>
        <vertAlign val="superscript"/>
        <sz val="36"/>
        <rFont val="Times New Roman"/>
        <family val="1"/>
        <charset val="204"/>
      </rPr>
      <t>2</t>
    </r>
  </si>
  <si>
    <t>5 мм. (по 100 шт)</t>
  </si>
  <si>
    <t>4 мм. (по 100 шт)</t>
  </si>
  <si>
    <t>13х146х6000 сорт C</t>
  </si>
  <si>
    <r>
      <t>5,754 м</t>
    </r>
    <r>
      <rPr>
        <vertAlign val="superscript"/>
        <sz val="36"/>
        <color rgb="FFFF0000"/>
        <rFont val="Times New Roman"/>
        <family val="1"/>
        <charset val="204"/>
      </rPr>
      <t>2</t>
    </r>
  </si>
  <si>
    <r>
      <t>1,35 м</t>
    </r>
    <r>
      <rPr>
        <vertAlign val="superscript"/>
        <sz val="36"/>
        <rFont val="Times New Roman"/>
        <family val="1"/>
        <charset val="204"/>
      </rPr>
      <t>2</t>
    </r>
  </si>
  <si>
    <t>38х95х6000 сорт АВ</t>
  </si>
  <si>
    <t>180р.</t>
  </si>
  <si>
    <t>16х145х6000 сорт С</t>
  </si>
  <si>
    <t>красный</t>
  </si>
  <si>
    <t xml:space="preserve">коричневый </t>
  </si>
  <si>
    <t xml:space="preserve">серый </t>
  </si>
  <si>
    <t>зелёный</t>
  </si>
  <si>
    <t>ОРИГИНАЛЬНЫЕ АКСЕССУАРЫ для ОНДУЛИНА Смарт</t>
  </si>
  <si>
    <t xml:space="preserve">зелёный </t>
  </si>
  <si>
    <t>чёрный</t>
  </si>
  <si>
    <t>серый</t>
  </si>
  <si>
    <t>рельеф 3D чёрный</t>
  </si>
  <si>
    <t>Время работы: без перерыва на обед</t>
  </si>
  <si>
    <t>Цена за лист</t>
  </si>
  <si>
    <t>красный
коричневый
серый</t>
  </si>
  <si>
    <t>красный 
коричневый 
зелёный 
чёрный</t>
  </si>
  <si>
    <t>красная</t>
  </si>
  <si>
    <t>коричневая</t>
  </si>
  <si>
    <t xml:space="preserve">графит </t>
  </si>
  <si>
    <t>зелёная</t>
  </si>
  <si>
    <t>ОРИГИНАЛЬНЫЕ АКСЕССУАРЫ для Черепицы ОНДУЛИН</t>
  </si>
  <si>
    <t>Единица продажи: ЛИСТ
Размер листа: 950*1950*3,0 мм
Вес листа: 6 кг
Количество волн: 10
Требуемый нахлест: 12 см</t>
  </si>
  <si>
    <t>Единица продажи: ЛИСТ
Размер листа: 960*1950*3,3 мм
Вес листа: 6 кг
Количество волн: 7
Требуемый нахлест: 12 см</t>
  </si>
  <si>
    <t>Наличие</t>
  </si>
  <si>
    <t>рельеф 
3D чёрный</t>
  </si>
  <si>
    <t>НА
ЗАКАЗ</t>
  </si>
  <si>
    <t>В НАЛИЧИИ</t>
  </si>
  <si>
    <t>Изоспан A с ОЗД- ветрозащитная дышащая мембрана с огнезащитной доб.</t>
  </si>
  <si>
    <t>1,6м</t>
  </si>
  <si>
    <t>70 кв.м.</t>
  </si>
  <si>
    <t>Изоспан A цоколь - ветрогидрозащитная паропроницаемая мембрана черная</t>
  </si>
  <si>
    <t>Изоспан AM - трехслойная ветрогидрозащитная мембрана</t>
  </si>
  <si>
    <t>35 кв.м.</t>
  </si>
  <si>
    <t>Изоспан AQ 150 proff (пл-ть 150гр/м2) ветрогидрозащита УФ 12мес.</t>
  </si>
  <si>
    <t>Изоспан AS 130 proff - трехслойная ветрогидрозащитная мембрана</t>
  </si>
  <si>
    <t>Изоспан AQ proff, 188 гр - трехслойная ветрогидрозащитная мембрана</t>
  </si>
  <si>
    <t>Изоспан AS - трехслойная ветрогидрозащитная мембрана</t>
  </si>
  <si>
    <t>Изоспан B fix - пароизоляция с двойной интегрированной лентой</t>
  </si>
  <si>
    <t>Изоспан B - пароизоляция универсальная</t>
  </si>
  <si>
    <t>Изоспан D fix - прочная гидро-пароизоляция с 2-й интегрированной лентой</t>
  </si>
  <si>
    <t>Изоспан D - гидро-пароизоляция повышенной прочности</t>
  </si>
  <si>
    <t>Изоспан DM - прочная гидропароизоляция с антиконден. слоем</t>
  </si>
  <si>
    <t>1,2м</t>
  </si>
  <si>
    <t>Изоспан FB - фольга для сауны упрочненная t+140С</t>
  </si>
  <si>
    <t>Изоспан FD - энергосберегающая гидро-пароизоляция упрочненная</t>
  </si>
  <si>
    <t>Изоспан FS - энергосберегающая паро-гидроизоляция</t>
  </si>
  <si>
    <t>36 кв.м.</t>
  </si>
  <si>
    <t>Изоспан FX 3mm - тепловиброгидрозащита</t>
  </si>
  <si>
    <t>Изоспан RF - отражающая армированная паро-гидроизоляция</t>
  </si>
  <si>
    <t>Изоспан RM - пароизоляция с армированной сеткой</t>
  </si>
  <si>
    <t>Изоспан RS - пароизоляция антиконденсатный слой с армированной сеткой</t>
  </si>
  <si>
    <t>Изоспан A - ветрогидрозащитная паропроницаемая мембрана</t>
  </si>
  <si>
    <t>Изоспан C - гидро-пароизоляция антиконденсатная</t>
  </si>
  <si>
    <t>1,27м</t>
  </si>
  <si>
    <t>50мм</t>
  </si>
  <si>
    <t>25м</t>
  </si>
  <si>
    <t>40м</t>
  </si>
  <si>
    <t>50м</t>
  </si>
  <si>
    <t>Изоспан FL скотч металлизированный фольгир. Утеплителей 50мм, 50м, t80С</t>
  </si>
  <si>
    <t>Изоспан KL лента соед-ная 2-хстор. 15мм, 50п.м. для пароизоляции</t>
  </si>
  <si>
    <t>15мм</t>
  </si>
  <si>
    <t>25мм</t>
  </si>
  <si>
    <t>Изоспан KL+ лента соед-ная 25мм, 25п.м, усиленная армированная t-10С</t>
  </si>
  <si>
    <t>45м</t>
  </si>
  <si>
    <t>30м</t>
  </si>
  <si>
    <t>РАЗМЕР</t>
  </si>
  <si>
    <t>ЦЕНА</t>
  </si>
  <si>
    <t>Изоспан AF+ - усиленная негорючая ветрозащитная мембрана, пл-ть 200гр/м2</t>
  </si>
  <si>
    <t>Изоспан FL termo алюминиевый шир. 50мм, длина 40м, температуростойкий t140С</t>
  </si>
  <si>
    <t>Изоспан FL proff скотч усиленный металлизированный лавсан 50мм, 25м, t140С</t>
  </si>
  <si>
    <t>Изоспан PL лента 50мм, 25п.м. для всех видов пароизоляции</t>
  </si>
  <si>
    <t>Изоспан ML proff лента 50мм, 25п.м. для всех видов мембран, усиленная</t>
  </si>
  <si>
    <t>Изоспан SL лента бутил-каучуковая соед-ная 15мм, 45п.м. для пароизоляции универ.</t>
  </si>
  <si>
    <t>Изоспан лента самоклеющаяся уплотнительная  ш.50мм, тол.3мм, 30пог.м.</t>
  </si>
  <si>
    <t>НАЛИЧИЕ</t>
  </si>
  <si>
    <t>НА ЗАКАЗ</t>
  </si>
  <si>
    <t>50 кв.м.</t>
  </si>
  <si>
    <t>1,5м</t>
  </si>
  <si>
    <t>30 кв.м.</t>
  </si>
  <si>
    <t>Ондутисс ВASIC А ветровлагозащитная мембрана</t>
  </si>
  <si>
    <t>Ондутисс ВASIC B пароизоляция антиконденсатная</t>
  </si>
  <si>
    <t>Ондутисс ВASIC D гидропароизоляция универсальная</t>
  </si>
  <si>
    <t>ONDUTISS SMART Termo 30 отражающая пароизоляционная пленка t+120C</t>
  </si>
  <si>
    <t>ИЗОСПАН ПЛЕНКИ</t>
  </si>
  <si>
    <t>ИЗОСПАН ленты и скотчи</t>
  </si>
  <si>
    <t>ОНДУТИС пленки</t>
  </si>
  <si>
    <r>
      <t xml:space="preserve">Конёк для Черепицы Ондулин
</t>
    </r>
    <r>
      <rPr>
        <sz val="12"/>
        <rFont val="Times New Roman"/>
        <family val="1"/>
        <charset val="204"/>
      </rPr>
      <t>103,5 х 42 см; вес 1,38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15 шт.</t>
    </r>
  </si>
  <si>
    <r>
      <t xml:space="preserve">Ендова Ондулин
</t>
    </r>
    <r>
      <rPr>
        <sz val="12"/>
        <rFont val="Times New Roman"/>
        <family val="1"/>
        <charset val="204"/>
      </rPr>
      <t>100 х 42 см; вес 1,32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15 шт.</t>
    </r>
  </si>
  <si>
    <r>
      <t xml:space="preserve">Щипец для Черепицы Ондулин
</t>
    </r>
    <r>
      <rPr>
        <sz val="12"/>
        <rFont val="Times New Roman"/>
        <family val="1"/>
        <charset val="204"/>
      </rPr>
      <t>103,5х15 см; вес 0,55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15 шт.</t>
    </r>
  </si>
  <si>
    <r>
      <t xml:space="preserve">Покрывающий фартук
для Черепицы Ондулин
</t>
    </r>
    <r>
      <rPr>
        <sz val="12"/>
        <rFont val="Times New Roman"/>
        <family val="1"/>
        <charset val="204"/>
      </rPr>
      <t>материал: полипропилен
длина 92,5 см; вес 0,45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25 шт.</t>
    </r>
  </si>
  <si>
    <r>
      <t xml:space="preserve">Заполнитель карнизов
для Черепицы Ондулин (комплект)
</t>
    </r>
    <r>
      <rPr>
        <sz val="12"/>
        <rFont val="Times New Roman"/>
        <family val="1"/>
        <charset val="204"/>
      </rPr>
      <t xml:space="preserve">длина 85,5 см; вес 0,02 кг
единица продажи: упаковка 30 шт.      </t>
    </r>
    <r>
      <rPr>
        <b/>
        <sz val="12"/>
        <rFont val="Times New Roman"/>
        <family val="1"/>
        <charset val="204"/>
      </rPr>
      <t xml:space="preserve">             </t>
    </r>
  </si>
  <si>
    <r>
      <t xml:space="preserve">Гвозди Ондулин (с литой шляпкой)
</t>
    </r>
    <r>
      <rPr>
        <sz val="12"/>
        <rFont val="Times New Roman"/>
        <family val="1"/>
        <charset val="204"/>
      </rPr>
      <t>длина 75 мм
единица продажи: шт. (упаковка 100 шт.)</t>
    </r>
  </si>
  <si>
    <r>
      <t xml:space="preserve">Комплект утеплённой трубы
для Черепицы Ондулин
</t>
    </r>
    <r>
      <rPr>
        <sz val="12"/>
        <rFont val="Times New Roman"/>
        <family val="1"/>
        <charset val="204"/>
      </rPr>
      <t>основание 70 х 49 см, высота 55 см
вес 2,85 кг
единица продажи: шт.</t>
    </r>
  </si>
  <si>
    <r>
      <t xml:space="preserve">Вентиляционная труба
для Черепицы Ондулин
</t>
    </r>
    <r>
      <rPr>
        <sz val="12"/>
        <rFont val="Times New Roman"/>
        <family val="1"/>
        <charset val="204"/>
      </rPr>
      <t>основание 70 х 49 см, высота 70 см
вес 2,20 кг
единица продажи: шт.</t>
    </r>
  </si>
  <si>
    <r>
      <t xml:space="preserve">Лента Ондуфлеш-Супер
</t>
    </r>
    <r>
      <rPr>
        <sz val="12"/>
        <rFont val="Times New Roman"/>
        <family val="1"/>
        <charset val="204"/>
      </rPr>
      <t>0,3 x 2,5 м; вес 2,3 кг
единица продажи: шт.</t>
    </r>
  </si>
  <si>
    <t>АНТИСЕПТИК</t>
  </si>
  <si>
    <r>
      <t xml:space="preserve">Конёк для Ондулина Смарт
</t>
    </r>
    <r>
      <rPr>
        <sz val="12"/>
        <rFont val="Times New Roman"/>
        <family val="1"/>
        <charset val="204"/>
      </rPr>
      <t>100 х 42 см; вес 1,32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15 шт.</t>
    </r>
  </si>
  <si>
    <r>
      <t xml:space="preserve">Щипец Ондулин
</t>
    </r>
    <r>
      <rPr>
        <sz val="12"/>
        <rFont val="Times New Roman"/>
        <family val="1"/>
        <charset val="204"/>
      </rPr>
      <t>100 х 21 см; вес 0,77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15 шт.</t>
    </r>
  </si>
  <si>
    <r>
      <t xml:space="preserve">Покрывающий фартук
для Ондулина Смарт
</t>
    </r>
    <r>
      <rPr>
        <sz val="12"/>
        <rFont val="Times New Roman"/>
        <family val="1"/>
        <charset val="204"/>
      </rPr>
      <t>материал: полипропилен
длина 95 см; вес 0,57 кг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единица продажи: упаковка 25 шт.</t>
    </r>
  </si>
  <si>
    <r>
      <t xml:space="preserve">Заполнитель карнизов (универсальный)
</t>
    </r>
    <r>
      <rPr>
        <sz val="12"/>
        <rFont val="Times New Roman"/>
        <family val="1"/>
        <charset val="204"/>
      </rPr>
      <t xml:space="preserve">длина 85,5 см; вес 0,01 кг
единица продажи: упаковка 50 шт.      </t>
    </r>
    <r>
      <rPr>
        <b/>
        <sz val="12"/>
        <rFont val="Times New Roman"/>
        <family val="1"/>
        <charset val="204"/>
      </rPr>
      <t xml:space="preserve">             </t>
    </r>
  </si>
  <si>
    <r>
      <t xml:space="preserve">Комплект утеплённой трубы для Ондулина Смарт
</t>
    </r>
    <r>
      <rPr>
        <sz val="12"/>
        <rFont val="Times New Roman"/>
        <family val="1"/>
        <charset val="204"/>
      </rPr>
      <t>основание 70 х 45см, высота 55 см
вес 2,9 кг
единица продажи: шт.</t>
    </r>
  </si>
  <si>
    <r>
      <t xml:space="preserve">Вентиляционная труба
для Ондулина Смарт
</t>
    </r>
    <r>
      <rPr>
        <sz val="12"/>
        <rFont val="Times New Roman"/>
        <family val="1"/>
        <charset val="204"/>
      </rPr>
      <t>основание 70 х 45см, высота 70 см
вес 2,25 кг
единица продажи: шт.</t>
    </r>
  </si>
  <si>
    <r>
      <t>Цена за м</t>
    </r>
    <r>
      <rPr>
        <b/>
        <vertAlign val="superscript"/>
        <sz val="14"/>
        <rFont val="Times New Roman"/>
        <family val="1"/>
        <charset val="204"/>
      </rPr>
      <t>2</t>
    </r>
  </si>
  <si>
    <t xml:space="preserve"> ПОГОНАЖНАЯ ПРОДУКЦИЯ
 (СОСНА)</t>
  </si>
  <si>
    <t>Примечание: прайс является ориентировочным, 
наличие и конечные цены необходимо уточнять у менеджера</t>
  </si>
  <si>
    <t>2 сорт 100х150х6000</t>
  </si>
  <si>
    <t>Изображение</t>
  </si>
  <si>
    <t>Цвет</t>
  </si>
  <si>
    <t>Цена, за шт</t>
  </si>
  <si>
    <t>20х96х2000 сорт АВ</t>
  </si>
  <si>
    <t>5,2 шт.</t>
  </si>
  <si>
    <t>260,4 шт.</t>
  </si>
  <si>
    <t>36 000р.</t>
  </si>
  <si>
    <t>154р.</t>
  </si>
  <si>
    <t>207р.</t>
  </si>
  <si>
    <t>Профлист кровельный С21</t>
  </si>
  <si>
    <t>2м</t>
  </si>
  <si>
    <t>Оцинкованный 0,35мм</t>
  </si>
  <si>
    <t>Оцинкованный 0,45мм</t>
  </si>
  <si>
    <t>3м</t>
  </si>
  <si>
    <t>2000*1050</t>
  </si>
  <si>
    <t>3000*1050</t>
  </si>
  <si>
    <t>Окрашенный (любой цвет - односторонний) 0,35мм</t>
  </si>
  <si>
    <t>Окрашенный (любой цвет - односторонний) 0,45мм</t>
  </si>
  <si>
    <t>Профлист заборный С8</t>
  </si>
  <si>
    <t>Окрашенный (любой цвет - двусторонний) 0,45мм</t>
  </si>
  <si>
    <t>2000*1200</t>
  </si>
  <si>
    <t>Окрашенный (любой цвет - двусторонний) 0,4мм</t>
  </si>
  <si>
    <t>Металлочерепица</t>
  </si>
  <si>
    <t>Окрашенная двусторонняя</t>
  </si>
  <si>
    <t>2,25м</t>
  </si>
  <si>
    <t>2,95м</t>
  </si>
  <si>
    <t>1200*1180</t>
  </si>
  <si>
    <t>2250*1180</t>
  </si>
  <si>
    <t>2950*1180</t>
  </si>
  <si>
    <t>Профильная Труба</t>
  </si>
  <si>
    <t>Труба профильная 15*15</t>
  </si>
  <si>
    <t>Толщина</t>
  </si>
  <si>
    <t>Цена 3м</t>
  </si>
  <si>
    <t>Цена 6м</t>
  </si>
  <si>
    <t>1,5мм</t>
  </si>
  <si>
    <t>Труба профильная 20*20</t>
  </si>
  <si>
    <t>Труба профильная 30*30</t>
  </si>
  <si>
    <t>Труба профильная 40*20</t>
  </si>
  <si>
    <t>Труба профильная 40*40</t>
  </si>
  <si>
    <t>Труба профильная 50*50</t>
  </si>
  <si>
    <t>Труба профильная 60*40</t>
  </si>
  <si>
    <t>Труба профильная 60*60</t>
  </si>
  <si>
    <t>Труба профильная 80*80</t>
  </si>
  <si>
    <t>Труба профильная 100*100</t>
  </si>
  <si>
    <t>Труба профильная 25*25</t>
  </si>
  <si>
    <t>2мм</t>
  </si>
  <si>
    <t>3мм</t>
  </si>
  <si>
    <t>510</t>
  </si>
  <si>
    <t>4мм</t>
  </si>
  <si>
    <t>Арматура рифленая</t>
  </si>
  <si>
    <t>8мм</t>
  </si>
  <si>
    <t>10мм</t>
  </si>
  <si>
    <t>12мм</t>
  </si>
  <si>
    <t>14мм</t>
  </si>
  <si>
    <t>6м</t>
  </si>
  <si>
    <t>1020 Р</t>
  </si>
  <si>
    <t>Гладкий лист</t>
  </si>
  <si>
    <t>2000*1250</t>
  </si>
  <si>
    <t>2,5м</t>
  </si>
  <si>
    <t>2500*1250</t>
  </si>
  <si>
    <t>Оцинкованный 0,45-0,7мм</t>
  </si>
  <si>
    <t>от 1040 Р</t>
  </si>
  <si>
    <t>от 1300 Р</t>
  </si>
  <si>
    <t>Окрашенный 0,4-0,7мм</t>
  </si>
  <si>
    <t>2-3м</t>
  </si>
  <si>
    <t>от 1725 Р</t>
  </si>
  <si>
    <t>Уголок стальной равнополочный</t>
  </si>
  <si>
    <t>32*4,0</t>
  </si>
  <si>
    <t>40*4,0</t>
  </si>
  <si>
    <t>50*4,0</t>
  </si>
  <si>
    <t>63*5,0</t>
  </si>
  <si>
    <t>20х96х6000 сорт С</t>
  </si>
  <si>
    <t>20х96х6000 сорт АВ</t>
  </si>
  <si>
    <t>86,8 шт.</t>
  </si>
  <si>
    <t>1,73 шт.</t>
  </si>
  <si>
    <t>20х96х4000 сорт АВ</t>
  </si>
  <si>
    <t>20х96х5000 сорт АВ</t>
  </si>
  <si>
    <t>130,2 шт.</t>
  </si>
  <si>
    <t>104,1 шт.</t>
  </si>
  <si>
    <t>2,08 шт.</t>
  </si>
  <si>
    <t>400 х 4,0 х 24,5</t>
  </si>
  <si>
    <t>(цена за безнальный расчёт +5% от цены прайса)</t>
  </si>
  <si>
    <t>Прайс-лист от 05.03.2026 г.</t>
  </si>
  <si>
    <t>1865р.</t>
  </si>
  <si>
    <t>1958р.</t>
  </si>
  <si>
    <t>2051р.</t>
  </si>
  <si>
    <t>2145р.</t>
  </si>
  <si>
    <t>2238р.</t>
  </si>
  <si>
    <t>2331р.</t>
  </si>
  <si>
    <t>2518р.</t>
  </si>
  <si>
    <t>2797р.</t>
  </si>
  <si>
    <t>Пн-Пт: с 9:00 до 18:00</t>
  </si>
  <si>
    <t>12 мм (Талион)</t>
  </si>
  <si>
    <t>6 мм (Муром)</t>
  </si>
  <si>
    <t>Прайс-лист от 07.04.2026 г.</t>
  </si>
  <si>
    <t>25х125х2000</t>
  </si>
  <si>
    <t xml:space="preserve">Скотч металлизированный 48мм, 50м, для фольгир. утеплителей t80C </t>
  </si>
  <si>
    <t>48мм</t>
  </si>
  <si>
    <t>Скотч Ондутис Fix Tape односторонний, герметизирующий для пароизоляции, t= -7С</t>
  </si>
  <si>
    <t>2 сорт 100х200х6000</t>
  </si>
  <si>
    <t>2 сорт 150х150х6000</t>
  </si>
  <si>
    <t>Блок фундаментный 
250х250х140 мм под 50 мм (11 кг)</t>
  </si>
  <si>
    <t>Блок фундаментный 
300х300х180 мм под 50 мм (24 кг)</t>
  </si>
  <si>
    <t>Блок фундаментный 
300х300х180 мм под 50 и 100 мм (24 кг)</t>
  </si>
  <si>
    <t>Блок фундаментный 
300х300х180 мм под 100 мм (24 кг)</t>
  </si>
  <si>
    <t>Полнотелый 188х190х390 мм</t>
  </si>
  <si>
    <t>100х100х6000 сорт АВ</t>
  </si>
  <si>
    <t>50х140х6000 сорт С</t>
  </si>
  <si>
    <t>Профнастил кровельный МП20</t>
  </si>
  <si>
    <t xml:space="preserve">Труба профильная </t>
  </si>
  <si>
    <t>Труба профильная 20х20</t>
  </si>
  <si>
    <t>Труба профильная 40х20</t>
  </si>
  <si>
    <t>Труба профильная 40х40</t>
  </si>
  <si>
    <t>Труба профильная 50х50</t>
  </si>
  <si>
    <t>Труба профильная 60х60</t>
  </si>
  <si>
    <t>Труба профильная 80х80</t>
  </si>
  <si>
    <t>Арматура А500С рифленая</t>
  </si>
  <si>
    <t>6 мм</t>
  </si>
  <si>
    <t>8 мм</t>
  </si>
  <si>
    <t>10 мм</t>
  </si>
  <si>
    <t>12 мм</t>
  </si>
  <si>
    <t>1,5 мм</t>
  </si>
  <si>
    <t>2 мм</t>
  </si>
  <si>
    <t>2000 мм</t>
  </si>
  <si>
    <t>2500 мм</t>
  </si>
  <si>
    <t>3000 мм</t>
  </si>
  <si>
    <t>1800 мм</t>
  </si>
  <si>
    <t>1150 мм</t>
  </si>
  <si>
    <t>1190 мм</t>
  </si>
  <si>
    <t>5,85 м</t>
  </si>
  <si>
    <t>6 м</t>
  </si>
  <si>
    <t>Ширина</t>
  </si>
  <si>
    <t>Цена за шт</t>
  </si>
  <si>
    <t>Длина</t>
  </si>
  <si>
    <t>Цена за 3 м</t>
  </si>
  <si>
    <t>Цена за 6 м</t>
  </si>
  <si>
    <t>Прайс-лист от 29.07.2026 г.</t>
  </si>
  <si>
    <t>Прайс-лист от 07.08.2026 г.</t>
  </si>
  <si>
    <t>Труба профильная 25х25</t>
  </si>
  <si>
    <t>Труба профильная 100х100</t>
  </si>
  <si>
    <t>3 мм</t>
  </si>
  <si>
    <t>Уголок стальной</t>
  </si>
  <si>
    <t>Уголок стальной 25х25</t>
  </si>
  <si>
    <t>Уголок стальной 32х32</t>
  </si>
  <si>
    <t>Уголок стальной 40х40</t>
  </si>
  <si>
    <t>4 мм</t>
  </si>
  <si>
    <t>Уголок стальной 50х50</t>
  </si>
  <si>
    <t>5 мм</t>
  </si>
  <si>
    <t>Полоса стальная</t>
  </si>
  <si>
    <t>Полоса стальная 40 мм</t>
  </si>
  <si>
    <t>Полоса стальная 50 мм</t>
  </si>
  <si>
    <t xml:space="preserve">Труба круглая </t>
  </si>
  <si>
    <t>Труба круглая ВГП 25 мм</t>
  </si>
  <si>
    <t>2,8 мм</t>
  </si>
  <si>
    <t>Труба круглая ВГП 40 мм</t>
  </si>
  <si>
    <t>Труба круглая ВГП 32 мм</t>
  </si>
  <si>
    <t>Швеллер</t>
  </si>
  <si>
    <t>80 мм</t>
  </si>
  <si>
    <t>120 мм</t>
  </si>
  <si>
    <t>140 мм</t>
  </si>
  <si>
    <t>160 мм</t>
  </si>
  <si>
    <t>220 мм</t>
  </si>
  <si>
    <t>Швеллер профиль "П"</t>
  </si>
  <si>
    <t>Шоколадно-коричневый 0,45мм (RAL 8017)</t>
  </si>
  <si>
    <t xml:space="preserve">Профнастил заборный С8 </t>
  </si>
  <si>
    <t>Серый графит 0,45мм (RAL 7024)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</si>
</sst>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#,##0.00&quot;р.&quot;"/>
    <numFmt numFmtId="166" formatCode="#,##0&quot;р.&quot;"/>
    <numFmt numFmtId="167" formatCode="#,##0\ &quot;₽&quot;"/>
    <numFmt numFmtId="168" formatCode="#,##0\ [$₽-419]"/>
  </numFmts>
  <fonts count="93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sz val="16"/>
      <name val="Arial Cyr"/>
      <charset val="204"/>
    </font>
    <font>
      <b/>
      <sz val="16"/>
      <name val="Arial Cyr"/>
      <charset val="204"/>
    </font>
    <font>
      <sz val="72"/>
      <name val="Arial Cyr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8"/>
      <name val="Times New Roman"/>
      <family val="1"/>
      <charset val="204"/>
    </font>
    <font>
      <sz val="16"/>
      <color rgb="FFFF0000"/>
      <name val="Arial Cyr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36"/>
      <name val="Times New Roman"/>
      <family val="1"/>
      <charset val="204"/>
    </font>
    <font>
      <sz val="12"/>
      <name val="Arial Cyr"/>
      <charset val="204"/>
    </font>
    <font>
      <b/>
      <sz val="48"/>
      <name val="Times New Roman"/>
      <family val="1"/>
      <charset val="204"/>
    </font>
    <font>
      <sz val="32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b/>
      <i/>
      <sz val="26"/>
      <name val="Times New Roman"/>
      <family val="1"/>
      <charset val="204"/>
    </font>
    <font>
      <b/>
      <vertAlign val="superscript"/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 Cyr"/>
      <charset val="204"/>
    </font>
    <font>
      <b/>
      <sz val="16"/>
      <color rgb="FFFF0000"/>
      <name val="Times New Roman"/>
      <family val="1"/>
      <charset val="204"/>
    </font>
    <font>
      <b/>
      <vertAlign val="superscript"/>
      <sz val="28"/>
      <name val="Times New Roman"/>
      <family val="1"/>
      <charset val="204"/>
    </font>
    <font>
      <sz val="29"/>
      <name val="Times New Roman"/>
      <family val="1"/>
      <charset val="204"/>
    </font>
    <font>
      <sz val="28"/>
      <name val="Times New Roman"/>
      <family val="1"/>
      <charset val="204"/>
    </font>
    <font>
      <sz val="50"/>
      <name val="Times New Roman"/>
      <family val="1"/>
      <charset val="204"/>
    </font>
    <font>
      <sz val="13"/>
      <name val="Times New Roman"/>
      <family val="1"/>
      <charset val="204"/>
    </font>
    <font>
      <sz val="48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  <font>
      <sz val="29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22"/>
      <name val="Arial Cyr"/>
      <charset val="204"/>
    </font>
    <font>
      <sz val="36"/>
      <color rgb="FFFF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6"/>
      <color rgb="FF0070C0"/>
      <name val="Arial Cyr"/>
      <charset val="204"/>
    </font>
    <font>
      <sz val="16"/>
      <color rgb="FF0070C0"/>
      <name val="Times New Roman"/>
      <family val="1"/>
      <charset val="204"/>
    </font>
    <font>
      <b/>
      <sz val="36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6"/>
      <color rgb="FFFF000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vertAlign val="superscript"/>
      <sz val="36"/>
      <color rgb="FFFF0000"/>
      <name val="Times New Roman"/>
      <family val="1"/>
      <charset val="204"/>
    </font>
    <font>
      <b/>
      <i/>
      <sz val="22"/>
      <name val="Times New Roman"/>
      <family val="1"/>
      <charset val="204"/>
    </font>
    <font>
      <sz val="19"/>
      <name val="Times New Roman"/>
      <family val="1"/>
      <charset val="204"/>
    </font>
    <font>
      <sz val="29"/>
      <color rgb="FF00B050"/>
      <name val="Times New Roman"/>
      <family val="1"/>
      <charset val="204"/>
    </font>
    <font>
      <sz val="29"/>
      <color theme="1"/>
      <name val="Times New Roman"/>
      <family val="1"/>
      <charset val="204"/>
    </font>
    <font>
      <sz val="12"/>
      <color indexed="8"/>
      <name val="Source Sans Pro Light"/>
      <family val="2"/>
    </font>
    <font>
      <sz val="9"/>
      <color indexed="8"/>
      <name val="Source Sans Pro Light"/>
      <family val="2"/>
    </font>
    <font>
      <sz val="11"/>
      <color rgb="FFC1232E"/>
      <name val="Calibri"/>
      <family val="2"/>
      <charset val="204"/>
    </font>
    <font>
      <sz val="16"/>
      <color rgb="FFFF0000"/>
      <name val="Source Sans Pro Light"/>
      <family val="2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48"/>
      <color rgb="FFFFFFFF"/>
      <name val="Times New Roman"/>
      <family val="1"/>
      <charset val="204"/>
    </font>
    <font>
      <b/>
      <sz val="36"/>
      <color rgb="FFFFFFFF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theme="1" tint="0.499984740745262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b/>
      <sz val="12"/>
      <color indexed="23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C1232E"/>
        <bgColor indexed="1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23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933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166" fontId="12" fillId="0" borderId="12" xfId="0" applyNumberFormat="1" applyFont="1" applyBorder="1" applyAlignment="1">
      <alignment horizontal="center" vertical="center"/>
    </xf>
    <xf numFmtId="166" fontId="12" fillId="0" borderId="11" xfId="0" applyNumberFormat="1" applyFont="1" applyBorder="1" applyAlignment="1">
      <alignment horizontal="center" vertical="center"/>
    </xf>
    <xf numFmtId="166" fontId="12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166" fontId="0" fillId="0" borderId="0" xfId="0" applyNumberFormat="1"/>
    <xf numFmtId="166" fontId="4" fillId="0" borderId="0" xfId="0" applyNumberFormat="1" applyFont="1"/>
    <xf numFmtId="0" fontId="12" fillId="0" borderId="0" xfId="0" applyFont="1" applyAlignment="1">
      <alignment vertical="center"/>
    </xf>
    <xf numFmtId="0" fontId="26" fillId="0" borderId="0" xfId="0" applyFont="1"/>
    <xf numFmtId="166" fontId="12" fillId="0" borderId="19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29" fillId="0" borderId="0" xfId="0" applyFont="1"/>
    <xf numFmtId="0" fontId="30" fillId="0" borderId="0" xfId="0" applyFont="1"/>
    <xf numFmtId="0" fontId="12" fillId="0" borderId="33" xfId="0" applyFont="1" applyBorder="1" applyAlignment="1">
      <alignment horizontal="left" vertical="center" wrapText="1"/>
    </xf>
    <xf numFmtId="0" fontId="12" fillId="0" borderId="18" xfId="0" applyFont="1" applyBorder="1" applyAlignment="1">
      <alignment vertical="center" wrapText="1"/>
    </xf>
    <xf numFmtId="0" fontId="35" fillId="0" borderId="0" xfId="0" applyFont="1"/>
    <xf numFmtId="0" fontId="35" fillId="0" borderId="0" xfId="0" applyFont="1" applyAlignment="1">
      <alignment horizontal="center" vertical="center" wrapText="1"/>
    </xf>
    <xf numFmtId="0" fontId="37" fillId="0" borderId="0" xfId="0" applyFont="1"/>
    <xf numFmtId="166" fontId="36" fillId="0" borderId="11" xfId="0" applyNumberFormat="1" applyFont="1" applyBorder="1" applyAlignment="1">
      <alignment horizontal="center" vertical="center" wrapText="1"/>
    </xf>
    <xf numFmtId="0" fontId="36" fillId="0" borderId="0" xfId="0" applyFont="1"/>
    <xf numFmtId="0" fontId="41" fillId="0" borderId="0" xfId="0" applyFont="1"/>
    <xf numFmtId="0" fontId="2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6" fontId="32" fillId="0" borderId="12" xfId="0" applyNumberFormat="1" applyFont="1" applyBorder="1" applyAlignment="1">
      <alignment horizontal="center" vertical="center"/>
    </xf>
    <xf numFmtId="166" fontId="32" fillId="0" borderId="11" xfId="0" applyNumberFormat="1" applyFont="1" applyBorder="1" applyAlignment="1">
      <alignment horizontal="center" vertical="center"/>
    </xf>
    <xf numFmtId="166" fontId="32" fillId="0" borderId="22" xfId="0" applyNumberFormat="1" applyFont="1" applyBorder="1" applyAlignment="1">
      <alignment horizontal="center" vertical="center"/>
    </xf>
    <xf numFmtId="166" fontId="32" fillId="0" borderId="19" xfId="0" applyNumberFormat="1" applyFont="1" applyBorder="1" applyAlignment="1">
      <alignment horizontal="center" vertical="center"/>
    </xf>
    <xf numFmtId="166" fontId="32" fillId="0" borderId="34" xfId="0" applyNumberFormat="1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166" fontId="44" fillId="0" borderId="11" xfId="0" applyNumberFormat="1" applyFont="1" applyBorder="1" applyAlignment="1">
      <alignment horizontal="center" vertical="center"/>
    </xf>
    <xf numFmtId="166" fontId="44" fillId="0" borderId="17" xfId="0" applyNumberFormat="1" applyFont="1" applyBorder="1" applyAlignment="1">
      <alignment horizontal="center" vertical="center"/>
    </xf>
    <xf numFmtId="0" fontId="44" fillId="0" borderId="0" xfId="0" applyFont="1"/>
    <xf numFmtId="0" fontId="44" fillId="0" borderId="12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166" fontId="44" fillId="0" borderId="12" xfId="0" applyNumberFormat="1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166" fontId="44" fillId="0" borderId="13" xfId="0" applyNumberFormat="1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166" fontId="12" fillId="0" borderId="22" xfId="1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166" fontId="12" fillId="0" borderId="34" xfId="1" applyNumberFormat="1" applyFont="1" applyBorder="1" applyAlignment="1">
      <alignment horizontal="center" vertical="center" wrapText="1"/>
    </xf>
    <xf numFmtId="166" fontId="2" fillId="2" borderId="32" xfId="0" applyNumberFormat="1" applyFont="1" applyFill="1" applyBorder="1" applyAlignment="1">
      <alignment horizontal="center" vertical="center" wrapText="1"/>
    </xf>
    <xf numFmtId="166" fontId="12" fillId="2" borderId="19" xfId="1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166" fontId="12" fillId="2" borderId="28" xfId="1" applyNumberFormat="1" applyFont="1" applyFill="1" applyBorder="1" applyAlignment="1">
      <alignment horizontal="center" vertical="center" wrapText="1"/>
    </xf>
    <xf numFmtId="166" fontId="12" fillId="2" borderId="12" xfId="1" applyNumberFormat="1" applyFont="1" applyFill="1" applyBorder="1" applyAlignment="1">
      <alignment horizontal="center" vertical="center" wrapText="1"/>
    </xf>
    <xf numFmtId="166" fontId="2" fillId="2" borderId="30" xfId="0" applyNumberFormat="1" applyFont="1" applyFill="1" applyBorder="1" applyAlignment="1">
      <alignment horizontal="center" vertical="center" wrapText="1"/>
    </xf>
    <xf numFmtId="166" fontId="12" fillId="2" borderId="13" xfId="1" applyNumberFormat="1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7" fillId="0" borderId="28" xfId="0" applyFont="1" applyBorder="1" applyAlignment="1">
      <alignment vertical="center"/>
    </xf>
    <xf numFmtId="0" fontId="13" fillId="0" borderId="33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2" fillId="0" borderId="35" xfId="0" applyFont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6" fontId="12" fillId="2" borderId="0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166" fontId="12" fillId="0" borderId="28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166" fontId="32" fillId="0" borderId="17" xfId="0" applyNumberFormat="1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165" fontId="32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vertical="center"/>
    </xf>
    <xf numFmtId="0" fontId="32" fillId="0" borderId="8" xfId="0" applyFont="1" applyBorder="1" applyAlignment="1">
      <alignment horizontal="center"/>
    </xf>
    <xf numFmtId="166" fontId="51" fillId="0" borderId="34" xfId="0" applyNumberFormat="1" applyFont="1" applyBorder="1" applyAlignment="1">
      <alignment horizontal="center" vertical="center"/>
    </xf>
    <xf numFmtId="0" fontId="50" fillId="0" borderId="16" xfId="0" applyFont="1" applyBorder="1"/>
    <xf numFmtId="0" fontId="0" fillId="0" borderId="24" xfId="0" applyBorder="1"/>
    <xf numFmtId="0" fontId="51" fillId="0" borderId="19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166" fontId="51" fillId="0" borderId="21" xfId="0" applyNumberFormat="1" applyFont="1" applyBorder="1" applyAlignment="1">
      <alignment horizontal="center" vertical="center"/>
    </xf>
    <xf numFmtId="166" fontId="51" fillId="0" borderId="3" xfId="0" applyNumberFormat="1" applyFont="1" applyBorder="1" applyAlignment="1">
      <alignment horizontal="center" vertical="center"/>
    </xf>
    <xf numFmtId="166" fontId="51" fillId="0" borderId="2" xfId="0" applyNumberFormat="1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166" fontId="36" fillId="0" borderId="22" xfId="1" applyNumberFormat="1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44" fillId="0" borderId="22" xfId="0" applyNumberFormat="1" applyFont="1" applyBorder="1" applyAlignment="1">
      <alignment horizontal="center" vertical="center"/>
    </xf>
    <xf numFmtId="166" fontId="36" fillId="0" borderId="6" xfId="0" applyNumberFormat="1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166" fontId="32" fillId="0" borderId="20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55" fillId="0" borderId="0" xfId="0" applyFont="1"/>
    <xf numFmtId="0" fontId="52" fillId="0" borderId="8" xfId="0" applyFont="1" applyBorder="1" applyAlignment="1">
      <alignment horizontal="center" vertical="center"/>
    </xf>
    <xf numFmtId="166" fontId="52" fillId="0" borderId="12" xfId="0" applyNumberFormat="1" applyFont="1" applyBorder="1" applyAlignment="1">
      <alignment horizontal="center" vertical="center"/>
    </xf>
    <xf numFmtId="166" fontId="52" fillId="0" borderId="11" xfId="0" applyNumberFormat="1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166" fontId="44" fillId="0" borderId="6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6" fontId="26" fillId="0" borderId="12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166" fontId="51" fillId="0" borderId="20" xfId="0" applyNumberFormat="1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0" xfId="0" applyFont="1"/>
    <xf numFmtId="167" fontId="0" fillId="0" borderId="0" xfId="0" applyNumberFormat="1"/>
    <xf numFmtId="0" fontId="59" fillId="0" borderId="36" xfId="0" applyFont="1" applyBorder="1" applyAlignment="1">
      <alignment horizontal="left" vertical="center" wrapText="1"/>
    </xf>
    <xf numFmtId="0" fontId="59" fillId="0" borderId="36" xfId="0" applyFont="1" applyBorder="1" applyAlignment="1">
      <alignment horizontal="center" vertical="center"/>
    </xf>
    <xf numFmtId="49" fontId="59" fillId="0" borderId="36" xfId="0" applyNumberFormat="1" applyFont="1" applyBorder="1" applyAlignment="1">
      <alignment horizontal="left" vertical="center" wrapText="1"/>
    </xf>
    <xf numFmtId="166" fontId="59" fillId="0" borderId="36" xfId="0" applyNumberFormat="1" applyFont="1" applyBorder="1" applyAlignment="1">
      <alignment vertical="center"/>
    </xf>
    <xf numFmtId="166" fontId="44" fillId="0" borderId="19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vertical="center"/>
    </xf>
    <xf numFmtId="166" fontId="59" fillId="0" borderId="0" xfId="0" applyNumberFormat="1" applyFont="1" applyAlignment="1">
      <alignment vertical="center"/>
    </xf>
    <xf numFmtId="0" fontId="62" fillId="0" borderId="0" xfId="0" applyFont="1"/>
    <xf numFmtId="0" fontId="63" fillId="0" borderId="0" xfId="0" applyFont="1"/>
    <xf numFmtId="0" fontId="12" fillId="0" borderId="16" xfId="0" applyFont="1" applyBorder="1" applyAlignment="1">
      <alignment vertical="center"/>
    </xf>
    <xf numFmtId="0" fontId="32" fillId="0" borderId="8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4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6" fillId="0" borderId="25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166" fontId="32" fillId="0" borderId="6" xfId="0" applyNumberFormat="1" applyFont="1" applyBorder="1" applyAlignment="1">
      <alignment horizontal="center" vertical="center"/>
    </xf>
    <xf numFmtId="0" fontId="58" fillId="0" borderId="14" xfId="0" applyFont="1" applyBorder="1" applyAlignment="1">
      <alignment vertical="center"/>
    </xf>
    <xf numFmtId="166" fontId="26" fillId="0" borderId="11" xfId="0" applyNumberFormat="1" applyFont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66" fillId="0" borderId="0" xfId="0" applyFont="1" applyAlignment="1">
      <alignment wrapText="1"/>
    </xf>
    <xf numFmtId="0" fontId="66" fillId="0" borderId="0" xfId="0" applyFont="1" applyAlignment="1">
      <alignment vertical="center" wrapText="1"/>
    </xf>
    <xf numFmtId="0" fontId="53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12" fillId="2" borderId="10" xfId="0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166" fontId="36" fillId="0" borderId="11" xfId="0" applyNumberFormat="1" applyFont="1" applyBorder="1" applyAlignment="1">
      <alignment horizontal="center" vertical="center"/>
    </xf>
    <xf numFmtId="166" fontId="36" fillId="0" borderId="11" xfId="1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166" fontId="36" fillId="0" borderId="1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54" fillId="0" borderId="0" xfId="0" applyFont="1"/>
    <xf numFmtId="0" fontId="54" fillId="0" borderId="33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166" fontId="36" fillId="0" borderId="9" xfId="1" applyNumberFormat="1" applyFont="1" applyBorder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166" fontId="36" fillId="0" borderId="0" xfId="1" applyNumberFormat="1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  <xf numFmtId="166" fontId="54" fillId="0" borderId="9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166" fontId="36" fillId="0" borderId="14" xfId="0" applyNumberFormat="1" applyFont="1" applyBorder="1" applyAlignment="1">
      <alignment horizontal="center" vertical="center"/>
    </xf>
    <xf numFmtId="166" fontId="36" fillId="0" borderId="15" xfId="0" applyNumberFormat="1" applyFont="1" applyBorder="1" applyAlignment="1">
      <alignment horizontal="center" vertical="center"/>
    </xf>
    <xf numFmtId="166" fontId="36" fillId="0" borderId="24" xfId="0" applyNumberFormat="1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166" fontId="36" fillId="0" borderId="18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166" fontId="54" fillId="0" borderId="33" xfId="0" applyNumberFormat="1" applyFont="1" applyBorder="1" applyAlignment="1">
      <alignment horizontal="center" vertical="center"/>
    </xf>
    <xf numFmtId="166" fontId="54" fillId="0" borderId="15" xfId="0" applyNumberFormat="1" applyFont="1" applyBorder="1" applyAlignment="1">
      <alignment horizontal="center" vertical="center"/>
    </xf>
    <xf numFmtId="0" fontId="36" fillId="0" borderId="14" xfId="0" applyFont="1" applyBorder="1" applyAlignment="1">
      <alignment horizontal="center"/>
    </xf>
    <xf numFmtId="166" fontId="36" fillId="0" borderId="14" xfId="0" applyNumberFormat="1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6" fillId="0" borderId="15" xfId="0" applyFont="1" applyBorder="1" applyAlignment="1">
      <alignment horizontal="center"/>
    </xf>
    <xf numFmtId="166" fontId="36" fillId="0" borderId="15" xfId="0" applyNumberFormat="1" applyFont="1" applyBorder="1" applyAlignment="1">
      <alignment horizontal="center"/>
    </xf>
    <xf numFmtId="166" fontId="52" fillId="0" borderId="17" xfId="0" applyNumberFormat="1" applyFont="1" applyBorder="1" applyAlignment="1">
      <alignment horizontal="center" vertical="center"/>
    </xf>
    <xf numFmtId="166" fontId="36" fillId="0" borderId="2" xfId="1" applyNumberFormat="1" applyFont="1" applyBorder="1" applyAlignment="1">
      <alignment horizontal="center" vertical="center" wrapText="1"/>
    </xf>
    <xf numFmtId="166" fontId="12" fillId="0" borderId="12" xfId="1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66" fontId="53" fillId="0" borderId="12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14" xfId="0" applyFont="1" applyBorder="1" applyAlignment="1">
      <alignment horizontal="center" vertical="center"/>
    </xf>
    <xf numFmtId="166" fontId="25" fillId="0" borderId="11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66" fontId="53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53" fillId="0" borderId="12" xfId="0" applyFont="1" applyBorder="1" applyAlignment="1">
      <alignment horizontal="center" vertical="center"/>
    </xf>
    <xf numFmtId="166" fontId="25" fillId="2" borderId="11" xfId="0" applyNumberFormat="1" applyFont="1" applyFill="1" applyBorder="1" applyAlignment="1">
      <alignment horizontal="center" vertical="center"/>
    </xf>
    <xf numFmtId="166" fontId="25" fillId="0" borderId="14" xfId="0" applyNumberFormat="1" applyFont="1" applyBorder="1" applyAlignment="1">
      <alignment horizontal="center" vertical="center"/>
    </xf>
    <xf numFmtId="0" fontId="25" fillId="0" borderId="12" xfId="1" applyNumberFormat="1" applyFont="1" applyBorder="1" applyAlignment="1">
      <alignment horizontal="center" vertical="center"/>
    </xf>
    <xf numFmtId="0" fontId="53" fillId="0" borderId="12" xfId="1" applyNumberFormat="1" applyFont="1" applyBorder="1" applyAlignment="1">
      <alignment horizontal="center" vertical="center"/>
    </xf>
    <xf numFmtId="14" fontId="14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52" fillId="0" borderId="12" xfId="0" applyFont="1" applyBorder="1" applyAlignment="1">
      <alignment horizontal="center" vertical="center"/>
    </xf>
    <xf numFmtId="166" fontId="52" fillId="0" borderId="22" xfId="0" applyNumberFormat="1" applyFont="1" applyBorder="1" applyAlignment="1">
      <alignment horizontal="center" vertical="center"/>
    </xf>
    <xf numFmtId="0" fontId="32" fillId="0" borderId="3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166" fontId="12" fillId="0" borderId="2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15" xfId="0" applyNumberFormat="1" applyFont="1" applyBorder="1" applyAlignment="1">
      <alignment horizontal="center" vertical="center"/>
    </xf>
    <xf numFmtId="166" fontId="12" fillId="0" borderId="14" xfId="0" applyNumberFormat="1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66" fontId="36" fillId="0" borderId="19" xfId="0" applyNumberFormat="1" applyFont="1" applyBorder="1" applyAlignment="1">
      <alignment horizontal="center" vertical="center"/>
    </xf>
    <xf numFmtId="166" fontId="36" fillId="0" borderId="19" xfId="1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6" fontId="36" fillId="0" borderId="6" xfId="0" applyNumberFormat="1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/>
    </xf>
    <xf numFmtId="166" fontId="32" fillId="0" borderId="4" xfId="0" applyNumberFormat="1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/>
    </xf>
    <xf numFmtId="166" fontId="32" fillId="0" borderId="13" xfId="0" applyNumberFormat="1" applyFont="1" applyBorder="1" applyAlignment="1">
      <alignment horizontal="center" vertical="center"/>
    </xf>
    <xf numFmtId="166" fontId="54" fillId="0" borderId="19" xfId="1" applyNumberFormat="1" applyFont="1" applyBorder="1" applyAlignment="1">
      <alignment horizontal="center" vertical="center"/>
    </xf>
    <xf numFmtId="166" fontId="54" fillId="0" borderId="12" xfId="1" applyNumberFormat="1" applyFont="1" applyBorder="1" applyAlignment="1">
      <alignment horizontal="center" vertical="center"/>
    </xf>
    <xf numFmtId="166" fontId="36" fillId="0" borderId="6" xfId="1" applyNumberFormat="1" applyFont="1" applyBorder="1" applyAlignment="1">
      <alignment horizontal="center" vertical="center"/>
    </xf>
    <xf numFmtId="166" fontId="54" fillId="0" borderId="9" xfId="1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166" fontId="32" fillId="0" borderId="2" xfId="0" applyNumberFormat="1" applyFont="1" applyBorder="1" applyAlignment="1">
      <alignment horizontal="center" vertical="center"/>
    </xf>
    <xf numFmtId="0" fontId="35" fillId="0" borderId="24" xfId="0" applyFont="1" applyBorder="1"/>
    <xf numFmtId="0" fontId="32" fillId="0" borderId="4" xfId="0" applyFont="1" applyBorder="1" applyAlignment="1">
      <alignment horizontal="center" vertical="center" wrapText="1"/>
    </xf>
    <xf numFmtId="166" fontId="36" fillId="0" borderId="12" xfId="1" applyNumberFormat="1" applyFont="1" applyBorder="1" applyAlignment="1">
      <alignment horizontal="center" vertical="center"/>
    </xf>
    <xf numFmtId="0" fontId="58" fillId="0" borderId="15" xfId="0" applyFont="1" applyBorder="1" applyAlignment="1">
      <alignment horizontal="left" vertical="center"/>
    </xf>
    <xf numFmtId="166" fontId="36" fillId="0" borderId="7" xfId="0" applyNumberFormat="1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166" fontId="53" fillId="0" borderId="11" xfId="0" applyNumberFormat="1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166" fontId="26" fillId="0" borderId="33" xfId="0" applyNumberFormat="1" applyFont="1" applyBorder="1" applyAlignment="1">
      <alignment horizontal="center" vertical="center"/>
    </xf>
    <xf numFmtId="166" fontId="26" fillId="0" borderId="19" xfId="0" applyNumberFormat="1" applyFont="1" applyBorder="1" applyAlignment="1">
      <alignment horizontal="center" vertical="center"/>
    </xf>
    <xf numFmtId="166" fontId="44" fillId="0" borderId="20" xfId="0" applyNumberFormat="1" applyFont="1" applyBorder="1" applyAlignment="1">
      <alignment horizontal="center" vertical="center"/>
    </xf>
    <xf numFmtId="0" fontId="52" fillId="0" borderId="22" xfId="0" applyFont="1" applyBorder="1" applyAlignment="1">
      <alignment horizontal="center" vertical="center"/>
    </xf>
    <xf numFmtId="166" fontId="52" fillId="0" borderId="20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36" fillId="0" borderId="13" xfId="0" applyNumberFormat="1" applyFont="1" applyBorder="1" applyAlignment="1">
      <alignment horizontal="center" vertical="center"/>
    </xf>
    <xf numFmtId="166" fontId="26" fillId="2" borderId="0" xfId="1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0" xfId="0" applyFont="1"/>
    <xf numFmtId="0" fontId="13" fillId="2" borderId="33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66" fontId="12" fillId="0" borderId="20" xfId="0" applyNumberFormat="1" applyFont="1" applyBorder="1" applyAlignment="1">
      <alignment horizontal="center" vertical="center"/>
    </xf>
    <xf numFmtId="166" fontId="12" fillId="0" borderId="21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left" vertical="center"/>
    </xf>
    <xf numFmtId="166" fontId="12" fillId="0" borderId="2" xfId="0" applyNumberFormat="1" applyFont="1" applyBorder="1" applyAlignment="1">
      <alignment horizontal="center" vertical="center"/>
    </xf>
    <xf numFmtId="166" fontId="26" fillId="0" borderId="22" xfId="0" applyNumberFormat="1" applyFont="1" applyBorder="1" applyAlignment="1">
      <alignment horizontal="center" vertical="center"/>
    </xf>
    <xf numFmtId="0" fontId="58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center" vertical="center"/>
    </xf>
    <xf numFmtId="0" fontId="56" fillId="0" borderId="4" xfId="0" applyFont="1" applyBorder="1" applyAlignment="1">
      <alignment vertical="center"/>
    </xf>
    <xf numFmtId="0" fontId="56" fillId="0" borderId="8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/>
    </xf>
    <xf numFmtId="166" fontId="56" fillId="0" borderId="12" xfId="0" applyNumberFormat="1" applyFont="1" applyBorder="1" applyAlignment="1">
      <alignment horizontal="center" vertical="center"/>
    </xf>
    <xf numFmtId="0" fontId="32" fillId="0" borderId="18" xfId="0" applyFont="1" applyBorder="1" applyAlignment="1">
      <alignment horizontal="center"/>
    </xf>
    <xf numFmtId="0" fontId="70" fillId="0" borderId="14" xfId="0" applyFont="1" applyBorder="1" applyAlignment="1">
      <alignment horizontal="center" vertical="center"/>
    </xf>
    <xf numFmtId="0" fontId="56" fillId="0" borderId="22" xfId="0" applyFont="1" applyBorder="1" applyAlignment="1">
      <alignment horizontal="center" vertical="center"/>
    </xf>
    <xf numFmtId="0" fontId="56" fillId="0" borderId="17" xfId="0" applyFont="1" applyBorder="1" applyAlignment="1">
      <alignment horizontal="center"/>
    </xf>
    <xf numFmtId="166" fontId="56" fillId="0" borderId="11" xfId="0" applyNumberFormat="1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56" fillId="0" borderId="20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/>
    </xf>
    <xf numFmtId="0" fontId="56" fillId="0" borderId="5" xfId="0" applyFont="1" applyBorder="1" applyAlignment="1">
      <alignment vertical="center"/>
    </xf>
    <xf numFmtId="0" fontId="56" fillId="0" borderId="33" xfId="0" applyFont="1" applyBorder="1" applyAlignment="1">
      <alignment horizontal="center"/>
    </xf>
    <xf numFmtId="166" fontId="56" fillId="0" borderId="19" xfId="0" applyNumberFormat="1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/>
    </xf>
    <xf numFmtId="166" fontId="56" fillId="0" borderId="6" xfId="0" applyNumberFormat="1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56" fillId="0" borderId="33" xfId="0" applyFont="1" applyBorder="1" applyAlignment="1">
      <alignment horizontal="center" vertical="center"/>
    </xf>
    <xf numFmtId="166" fontId="56" fillId="0" borderId="2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66" fontId="26" fillId="0" borderId="15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166" fontId="53" fillId="0" borderId="14" xfId="0" applyNumberFormat="1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15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wrapText="1"/>
    </xf>
    <xf numFmtId="165" fontId="56" fillId="0" borderId="11" xfId="0" applyNumberFormat="1" applyFont="1" applyBorder="1" applyAlignment="1">
      <alignment horizontal="center"/>
    </xf>
    <xf numFmtId="166" fontId="56" fillId="0" borderId="17" xfId="0" applyNumberFormat="1" applyFont="1" applyBorder="1" applyAlignment="1">
      <alignment horizontal="center" vertical="center"/>
    </xf>
    <xf numFmtId="166" fontId="53" fillId="2" borderId="11" xfId="0" applyNumberFormat="1" applyFont="1" applyFill="1" applyBorder="1" applyAlignment="1">
      <alignment horizontal="center" vertical="center"/>
    </xf>
    <xf numFmtId="166" fontId="36" fillId="0" borderId="1" xfId="1" applyNumberFormat="1" applyFont="1" applyBorder="1" applyAlignment="1">
      <alignment horizontal="center" vertical="center" wrapText="1"/>
    </xf>
    <xf numFmtId="166" fontId="36" fillId="0" borderId="7" xfId="0" applyNumberFormat="1" applyFont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166" fontId="36" fillId="0" borderId="11" xfId="1" applyNumberFormat="1" applyFont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 wrapText="1"/>
    </xf>
    <xf numFmtId="3" fontId="36" fillId="2" borderId="11" xfId="0" applyNumberFormat="1" applyFont="1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166" fontId="36" fillId="0" borderId="19" xfId="0" applyNumberFormat="1" applyFont="1" applyBorder="1" applyAlignment="1">
      <alignment horizontal="center" vertical="center" wrapText="1"/>
    </xf>
    <xf numFmtId="0" fontId="74" fillId="0" borderId="0" xfId="0" applyFont="1"/>
    <xf numFmtId="0" fontId="74" fillId="0" borderId="1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75" fillId="0" borderId="11" xfId="0" applyFont="1" applyBorder="1" applyAlignment="1">
      <alignment horizontal="center" vertical="center"/>
    </xf>
    <xf numFmtId="0" fontId="75" fillId="0" borderId="17" xfId="0" applyFont="1" applyBorder="1" applyAlignment="1">
      <alignment horizontal="center" vertical="center"/>
    </xf>
    <xf numFmtId="166" fontId="75" fillId="0" borderId="11" xfId="0" applyNumberFormat="1" applyFont="1" applyBorder="1" applyAlignment="1">
      <alignment horizontal="center" vertical="center"/>
    </xf>
    <xf numFmtId="166" fontId="75" fillId="0" borderId="17" xfId="0" applyNumberFormat="1" applyFont="1" applyBorder="1" applyAlignment="1">
      <alignment horizontal="center" vertical="center"/>
    </xf>
    <xf numFmtId="0" fontId="75" fillId="0" borderId="12" xfId="0" applyFont="1" applyBorder="1" applyAlignment="1">
      <alignment horizontal="center" wrapText="1"/>
    </xf>
    <xf numFmtId="0" fontId="75" fillId="0" borderId="13" xfId="0" applyFont="1" applyBorder="1" applyAlignment="1">
      <alignment horizontal="center" wrapText="1"/>
    </xf>
    <xf numFmtId="0" fontId="75" fillId="0" borderId="12" xfId="0" applyFont="1" applyBorder="1" applyAlignment="1">
      <alignment horizontal="center" vertical="center"/>
    </xf>
    <xf numFmtId="0" fontId="75" fillId="0" borderId="8" xfId="0" applyFont="1" applyBorder="1" applyAlignment="1">
      <alignment horizontal="center" vertical="center"/>
    </xf>
    <xf numFmtId="0" fontId="75" fillId="0" borderId="13" xfId="0" applyFont="1" applyBorder="1" applyAlignment="1">
      <alignment horizontal="center" vertical="center"/>
    </xf>
    <xf numFmtId="0" fontId="75" fillId="0" borderId="26" xfId="0" applyFont="1" applyBorder="1" applyAlignment="1">
      <alignment horizontal="center" vertical="center"/>
    </xf>
    <xf numFmtId="166" fontId="75" fillId="0" borderId="6" xfId="0" applyNumberFormat="1" applyFont="1" applyBorder="1" applyAlignment="1">
      <alignment horizontal="center" vertical="center"/>
    </xf>
    <xf numFmtId="166" fontId="75" fillId="0" borderId="13" xfId="0" applyNumberFormat="1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4" xfId="0" applyFont="1" applyBorder="1" applyAlignment="1">
      <alignment horizontal="center" vertical="center"/>
    </xf>
    <xf numFmtId="0" fontId="75" fillId="0" borderId="22" xfId="0" applyFont="1" applyBorder="1" applyAlignment="1">
      <alignment horizontal="center" vertical="center"/>
    </xf>
    <xf numFmtId="166" fontId="75" fillId="0" borderId="12" xfId="0" applyNumberFormat="1" applyFont="1" applyBorder="1" applyAlignment="1">
      <alignment horizontal="center" vertical="center"/>
    </xf>
    <xf numFmtId="0" fontId="75" fillId="0" borderId="25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30" xfId="0" applyFont="1" applyBorder="1" applyAlignment="1">
      <alignment horizontal="center" vertical="center"/>
    </xf>
    <xf numFmtId="166" fontId="75" fillId="0" borderId="22" xfId="0" applyNumberFormat="1" applyFont="1" applyBorder="1" applyAlignment="1">
      <alignment horizontal="center" vertical="center"/>
    </xf>
    <xf numFmtId="166" fontId="75" fillId="0" borderId="20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166" fontId="32" fillId="0" borderId="14" xfId="0" applyNumberFormat="1" applyFont="1" applyBorder="1" applyAlignment="1">
      <alignment horizontal="center" vertical="center"/>
    </xf>
    <xf numFmtId="165" fontId="32" fillId="0" borderId="12" xfId="0" applyNumberFormat="1" applyFont="1" applyBorder="1" applyAlignment="1">
      <alignment horizontal="center"/>
    </xf>
    <xf numFmtId="166" fontId="32" fillId="0" borderId="8" xfId="0" applyNumberFormat="1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56" fillId="0" borderId="1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54" fillId="0" borderId="19" xfId="0" applyFont="1" applyBorder="1" applyAlignment="1">
      <alignment horizontal="center" vertical="center"/>
    </xf>
    <xf numFmtId="166" fontId="54" fillId="0" borderId="19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/>
    </xf>
    <xf numFmtId="0" fontId="54" fillId="0" borderId="14" xfId="0" applyFont="1" applyBorder="1" applyAlignment="1">
      <alignment horizontal="center" vertical="center"/>
    </xf>
    <xf numFmtId="166" fontId="54" fillId="0" borderId="11" xfId="0" applyNumberFormat="1" applyFont="1" applyBorder="1" applyAlignment="1">
      <alignment horizontal="center" vertical="center"/>
    </xf>
    <xf numFmtId="166" fontId="54" fillId="0" borderId="11" xfId="1" applyNumberFormat="1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76" fillId="0" borderId="0" xfId="0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67" fontId="7" fillId="0" borderId="0" xfId="0" applyNumberFormat="1" applyFont="1"/>
    <xf numFmtId="0" fontId="80" fillId="0" borderId="0" xfId="0" applyFont="1" applyAlignment="1">
      <alignment horizontal="center" vertical="center"/>
    </xf>
    <xf numFmtId="0" fontId="40" fillId="0" borderId="0" xfId="0" applyFont="1"/>
    <xf numFmtId="0" fontId="0" fillId="0" borderId="5" xfId="0" applyBorder="1" applyAlignment="1">
      <alignment horizontal="center"/>
    </xf>
    <xf numFmtId="0" fontId="12" fillId="0" borderId="25" xfId="0" applyFont="1" applyBorder="1" applyAlignment="1">
      <alignment horizontal="left" vertical="center"/>
    </xf>
    <xf numFmtId="0" fontId="0" fillId="0" borderId="7" xfId="0" applyBorder="1"/>
    <xf numFmtId="0" fontId="7" fillId="0" borderId="19" xfId="0" applyFont="1" applyBorder="1"/>
    <xf numFmtId="0" fontId="7" fillId="0" borderId="12" xfId="0" applyFont="1" applyBorder="1"/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7" fontId="7" fillId="0" borderId="17" xfId="0" applyNumberFormat="1" applyFont="1" applyBorder="1"/>
    <xf numFmtId="167" fontId="7" fillId="0" borderId="8" xfId="0" applyNumberFormat="1" applyFont="1" applyBorder="1"/>
    <xf numFmtId="0" fontId="7" fillId="0" borderId="28" xfId="0" applyFont="1" applyBorder="1"/>
    <xf numFmtId="0" fontId="7" fillId="0" borderId="4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67" fontId="7" fillId="0" borderId="41" xfId="0" applyNumberFormat="1" applyFont="1" applyBorder="1"/>
    <xf numFmtId="167" fontId="7" fillId="0" borderId="15" xfId="0" applyNumberFormat="1" applyFont="1" applyBorder="1"/>
    <xf numFmtId="167" fontId="7" fillId="0" borderId="18" xfId="0" applyNumberFormat="1" applyFont="1" applyBorder="1"/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8" xfId="0" applyFont="1" applyBorder="1"/>
    <xf numFmtId="0" fontId="17" fillId="5" borderId="7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66" fontId="2" fillId="5" borderId="5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66" fontId="12" fillId="0" borderId="28" xfId="1" applyNumberFormat="1" applyFont="1" applyBorder="1" applyAlignment="1">
      <alignment horizontal="center" vertical="center" wrapText="1"/>
    </xf>
    <xf numFmtId="166" fontId="21" fillId="2" borderId="19" xfId="1" applyNumberFormat="1" applyFont="1" applyFill="1" applyBorder="1" applyAlignment="1">
      <alignment horizontal="center" vertical="center" wrapText="1"/>
    </xf>
    <xf numFmtId="166" fontId="21" fillId="2" borderId="12" xfId="1" applyNumberFormat="1" applyFont="1" applyFill="1" applyBorder="1" applyAlignment="1">
      <alignment horizontal="center" vertical="center" wrapText="1"/>
    </xf>
    <xf numFmtId="166" fontId="21" fillId="2" borderId="13" xfId="1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66" fontId="12" fillId="0" borderId="27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166" fontId="26" fillId="0" borderId="18" xfId="0" applyNumberFormat="1" applyFont="1" applyBorder="1" applyAlignment="1">
      <alignment horizontal="center" vertical="center"/>
    </xf>
    <xf numFmtId="166" fontId="26" fillId="0" borderId="6" xfId="0" applyNumberFormat="1" applyFont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166" fontId="24" fillId="5" borderId="5" xfId="0" applyNumberFormat="1" applyFont="1" applyFill="1" applyBorder="1" applyAlignment="1">
      <alignment horizontal="center" vertical="center" wrapText="1"/>
    </xf>
    <xf numFmtId="0" fontId="24" fillId="5" borderId="29" xfId="0" applyFont="1" applyFill="1" applyBorder="1" applyAlignment="1">
      <alignment horizontal="center" vertical="center" wrapText="1"/>
    </xf>
    <xf numFmtId="166" fontId="36" fillId="0" borderId="21" xfId="0" applyNumberFormat="1" applyFont="1" applyBorder="1" applyAlignment="1">
      <alignment horizontal="center" vertical="center"/>
    </xf>
    <xf numFmtId="166" fontId="36" fillId="0" borderId="2" xfId="1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166" fontId="25" fillId="0" borderId="19" xfId="0" applyNumberFormat="1" applyFont="1" applyBorder="1" applyAlignment="1">
      <alignment horizontal="center" vertical="center"/>
    </xf>
    <xf numFmtId="166" fontId="25" fillId="0" borderId="19" xfId="1" applyNumberFormat="1" applyFont="1" applyBorder="1" applyAlignment="1">
      <alignment horizontal="center" vertical="center"/>
    </xf>
    <xf numFmtId="0" fontId="25" fillId="0" borderId="19" xfId="1" applyNumberFormat="1" applyFont="1" applyBorder="1" applyAlignment="1">
      <alignment horizontal="center" vertical="center"/>
    </xf>
    <xf numFmtId="0" fontId="84" fillId="4" borderId="10" xfId="0" applyFont="1" applyFill="1" applyBorder="1" applyAlignment="1">
      <alignment vertical="center"/>
    </xf>
    <xf numFmtId="0" fontId="83" fillId="4" borderId="9" xfId="0" applyFont="1" applyFill="1" applyBorder="1" applyAlignment="1">
      <alignment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167" fontId="12" fillId="0" borderId="33" xfId="0" applyNumberFormat="1" applyFont="1" applyBorder="1" applyAlignment="1">
      <alignment horizontal="center" vertical="center" wrapText="1"/>
    </xf>
    <xf numFmtId="167" fontId="12" fillId="0" borderId="15" xfId="0" applyNumberFormat="1" applyFont="1" applyBorder="1" applyAlignment="1">
      <alignment horizontal="center" vertical="center" wrapText="1"/>
    </xf>
    <xf numFmtId="167" fontId="12" fillId="0" borderId="18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87" fillId="3" borderId="15" xfId="0" applyFont="1" applyFill="1" applyBorder="1" applyAlignment="1">
      <alignment horizontal="center" vertical="center" wrapText="1"/>
    </xf>
    <xf numFmtId="0" fontId="87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86" fillId="0" borderId="12" xfId="0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168" fontId="12" fillId="0" borderId="15" xfId="0" applyNumberFormat="1" applyFont="1" applyBorder="1" applyAlignment="1">
      <alignment horizontal="center" vertical="center" wrapText="1"/>
    </xf>
    <xf numFmtId="168" fontId="12" fillId="0" borderId="15" xfId="0" applyNumberFormat="1" applyFont="1" applyBorder="1" applyAlignment="1">
      <alignment horizontal="center" vertical="center"/>
    </xf>
    <xf numFmtId="168" fontId="12" fillId="0" borderId="27" xfId="0" applyNumberFormat="1" applyFont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168" fontId="12" fillId="0" borderId="12" xfId="0" applyNumberFormat="1" applyFont="1" applyBorder="1" applyAlignment="1">
      <alignment horizontal="center" vertical="center" wrapText="1"/>
    </xf>
    <xf numFmtId="168" fontId="12" fillId="0" borderId="28" xfId="0" applyNumberFormat="1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85" fillId="3" borderId="15" xfId="0" applyFont="1" applyFill="1" applyBorder="1" applyAlignment="1">
      <alignment vertical="center" wrapText="1"/>
    </xf>
    <xf numFmtId="0" fontId="85" fillId="3" borderId="27" xfId="0" applyFont="1" applyFill="1" applyBorder="1" applyAlignment="1">
      <alignment vertical="center" wrapText="1"/>
    </xf>
    <xf numFmtId="0" fontId="64" fillId="3" borderId="12" xfId="0" applyFont="1" applyFill="1" applyBorder="1" applyAlignment="1">
      <alignment horizontal="center" vertical="center" wrapText="1"/>
    </xf>
    <xf numFmtId="0" fontId="64" fillId="3" borderId="13" xfId="0" applyFont="1" applyFill="1" applyBorder="1" applyAlignment="1">
      <alignment horizontal="center" vertical="center" wrapText="1"/>
    </xf>
    <xf numFmtId="0" fontId="83" fillId="4" borderId="10" xfId="0" applyFont="1" applyFill="1" applyBorder="1" applyAlignment="1">
      <alignment vertical="center"/>
    </xf>
    <xf numFmtId="0" fontId="1" fillId="6" borderId="10" xfId="0" applyFont="1" applyFill="1" applyBorder="1" applyAlignment="1">
      <alignment horizontal="left" vertical="center" wrapText="1"/>
    </xf>
    <xf numFmtId="0" fontId="83" fillId="4" borderId="9" xfId="0" applyFont="1" applyFill="1" applyBorder="1" applyAlignment="1">
      <alignment horizontal="right" vertical="center"/>
    </xf>
    <xf numFmtId="0" fontId="1" fillId="7" borderId="10" xfId="0" applyFont="1" applyFill="1" applyBorder="1" applyAlignment="1">
      <alignment horizontal="center" vertical="center" wrapText="1"/>
    </xf>
    <xf numFmtId="0" fontId="85" fillId="3" borderId="14" xfId="0" applyFont="1" applyFill="1" applyBorder="1" applyAlignment="1">
      <alignment vertical="center" wrapText="1"/>
    </xf>
    <xf numFmtId="0" fontId="64" fillId="3" borderId="11" xfId="0" applyFont="1" applyFill="1" applyBorder="1" applyAlignment="1">
      <alignment horizontal="center" vertical="center" wrapText="1"/>
    </xf>
    <xf numFmtId="168" fontId="12" fillId="0" borderId="11" xfId="0" applyNumberFormat="1" applyFont="1" applyBorder="1" applyAlignment="1">
      <alignment horizontal="center"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86" fillId="0" borderId="1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 wrapText="1"/>
    </xf>
    <xf numFmtId="168" fontId="12" fillId="0" borderId="33" xfId="0" applyNumberFormat="1" applyFont="1" applyBorder="1" applyAlignment="1">
      <alignment horizontal="center" vertical="center" wrapText="1"/>
    </xf>
    <xf numFmtId="168" fontId="12" fillId="0" borderId="18" xfId="0" applyNumberFormat="1" applyFont="1" applyBorder="1" applyAlignment="1">
      <alignment horizontal="center" vertical="center"/>
    </xf>
    <xf numFmtId="168" fontId="12" fillId="0" borderId="18" xfId="0" applyNumberFormat="1" applyFont="1" applyBorder="1" applyAlignment="1">
      <alignment horizontal="center" vertical="center" wrapText="1"/>
    </xf>
    <xf numFmtId="0" fontId="64" fillId="3" borderId="33" xfId="0" applyFont="1" applyFill="1" applyBorder="1" applyAlignment="1">
      <alignment horizontal="center" vertical="center" wrapText="1"/>
    </xf>
    <xf numFmtId="0" fontId="64" fillId="3" borderId="15" xfId="0" applyFont="1" applyFill="1" applyBorder="1" applyAlignment="1">
      <alignment horizontal="center" vertical="center" wrapText="1"/>
    </xf>
    <xf numFmtId="0" fontId="64" fillId="3" borderId="18" xfId="0" applyFont="1" applyFill="1" applyBorder="1" applyAlignment="1">
      <alignment horizontal="center" vertical="center" wrapText="1"/>
    </xf>
    <xf numFmtId="0" fontId="85" fillId="3" borderId="33" xfId="0" applyFont="1" applyFill="1" applyBorder="1" applyAlignment="1">
      <alignment vertical="center" wrapText="1"/>
    </xf>
    <xf numFmtId="0" fontId="85" fillId="3" borderId="18" xfId="0" applyFont="1" applyFill="1" applyBorder="1" applyAlignment="1">
      <alignment vertical="center" wrapText="1"/>
    </xf>
    <xf numFmtId="0" fontId="84" fillId="4" borderId="9" xfId="0" applyFont="1" applyFill="1" applyBorder="1" applyAlignment="1">
      <alignment vertical="center"/>
    </xf>
    <xf numFmtId="0" fontId="10" fillId="0" borderId="15" xfId="0" applyFont="1" applyBorder="1"/>
    <xf numFmtId="0" fontId="89" fillId="0" borderId="19" xfId="0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0" fontId="90" fillId="0" borderId="12" xfId="0" applyFont="1" applyBorder="1" applyAlignment="1">
      <alignment horizontal="center" vertical="center"/>
    </xf>
    <xf numFmtId="0" fontId="89" fillId="0" borderId="28" xfId="0" applyFont="1" applyBorder="1" applyAlignment="1">
      <alignment horizontal="center" vertical="center"/>
    </xf>
    <xf numFmtId="0" fontId="89" fillId="0" borderId="13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75" fillId="0" borderId="18" xfId="0" applyFont="1" applyBorder="1" applyAlignment="1">
      <alignment horizontal="center" vertical="center"/>
    </xf>
    <xf numFmtId="0" fontId="74" fillId="0" borderId="18" xfId="0" applyFont="1" applyBorder="1" applyAlignment="1">
      <alignment horizontal="center" vertical="center"/>
    </xf>
    <xf numFmtId="166" fontId="54" fillId="0" borderId="12" xfId="0" applyNumberFormat="1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27" xfId="0" applyFont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166" fontId="36" fillId="0" borderId="5" xfId="0" applyNumberFormat="1" applyFont="1" applyBorder="1" applyAlignment="1">
      <alignment horizontal="center" vertical="center"/>
    </xf>
    <xf numFmtId="0" fontId="73" fillId="0" borderId="14" xfId="0" applyFont="1" applyBorder="1" applyAlignment="1">
      <alignment vertical="center"/>
    </xf>
    <xf numFmtId="3" fontId="36" fillId="0" borderId="34" xfId="0" applyNumberFormat="1" applyFont="1" applyBorder="1" applyAlignment="1">
      <alignment horizontal="center" vertical="center"/>
    </xf>
    <xf numFmtId="3" fontId="36" fillId="0" borderId="22" xfId="0" applyNumberFormat="1" applyFont="1" applyBorder="1" applyAlignment="1">
      <alignment horizontal="center" vertical="center"/>
    </xf>
    <xf numFmtId="3" fontId="36" fillId="0" borderId="2" xfId="0" applyNumberFormat="1" applyFont="1" applyBorder="1" applyAlignment="1">
      <alignment horizontal="center" vertical="center"/>
    </xf>
    <xf numFmtId="167" fontId="36" fillId="0" borderId="34" xfId="0" applyNumberFormat="1" applyFont="1" applyBorder="1" applyAlignment="1">
      <alignment horizontal="center" vertical="center"/>
    </xf>
    <xf numFmtId="167" fontId="36" fillId="0" borderId="22" xfId="0" applyNumberFormat="1" applyFont="1" applyBorder="1" applyAlignment="1">
      <alignment horizontal="center" vertical="center"/>
    </xf>
    <xf numFmtId="3" fontId="36" fillId="0" borderId="21" xfId="0" applyNumberFormat="1" applyFont="1" applyBorder="1" applyAlignment="1">
      <alignment horizontal="center" vertical="center"/>
    </xf>
    <xf numFmtId="167" fontId="36" fillId="0" borderId="21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6" fontId="36" fillId="0" borderId="22" xfId="1" applyNumberFormat="1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166" fontId="36" fillId="0" borderId="12" xfId="0" applyNumberFormat="1" applyFont="1" applyBorder="1" applyAlignment="1">
      <alignment horizontal="center" vertical="center" wrapText="1"/>
    </xf>
    <xf numFmtId="166" fontId="36" fillId="0" borderId="20" xfId="1" applyNumberFormat="1" applyFont="1" applyFill="1" applyBorder="1" applyAlignment="1">
      <alignment horizontal="center" vertical="center" wrapText="1"/>
    </xf>
    <xf numFmtId="166" fontId="36" fillId="0" borderId="2" xfId="1" applyNumberFormat="1" applyFont="1" applyFill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166" fontId="36" fillId="0" borderId="31" xfId="0" applyNumberFormat="1" applyFont="1" applyBorder="1" applyAlignment="1">
      <alignment horizontal="center" vertical="center" wrapText="1"/>
    </xf>
    <xf numFmtId="166" fontId="36" fillId="0" borderId="19" xfId="1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166" fontId="36" fillId="0" borderId="17" xfId="0" applyNumberFormat="1" applyFont="1" applyBorder="1" applyAlignment="1">
      <alignment horizontal="center" vertical="center" wrapText="1"/>
    </xf>
    <xf numFmtId="166" fontId="36" fillId="0" borderId="11" xfId="1" applyNumberFormat="1" applyFont="1" applyFill="1" applyBorder="1" applyAlignment="1">
      <alignment horizontal="center" vertical="center" wrapText="1"/>
    </xf>
    <xf numFmtId="3" fontId="36" fillId="0" borderId="19" xfId="0" applyNumberFormat="1" applyFont="1" applyBorder="1" applyAlignment="1">
      <alignment horizontal="center" vertical="center"/>
    </xf>
    <xf numFmtId="3" fontId="36" fillId="0" borderId="11" xfId="0" applyNumberFormat="1" applyFont="1" applyBorder="1" applyAlignment="1">
      <alignment horizontal="center" vertical="center"/>
    </xf>
    <xf numFmtId="3" fontId="36" fillId="0" borderId="6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66" fontId="36" fillId="0" borderId="34" xfId="1" applyNumberFormat="1" applyFont="1" applyFill="1" applyBorder="1" applyAlignment="1">
      <alignment horizontal="center" vertical="center" wrapText="1"/>
    </xf>
    <xf numFmtId="166" fontId="36" fillId="0" borderId="0" xfId="0" applyNumberFormat="1" applyFont="1" applyAlignment="1">
      <alignment horizontal="center" vertical="center" wrapText="1"/>
    </xf>
    <xf numFmtId="166" fontId="36" fillId="0" borderId="0" xfId="1" applyNumberFormat="1" applyFont="1" applyFill="1" applyBorder="1" applyAlignment="1">
      <alignment horizontal="center" vertical="center" wrapText="1"/>
    </xf>
    <xf numFmtId="167" fontId="10" fillId="0" borderId="0" xfId="0" applyNumberFormat="1" applyFont="1"/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167" fontId="13" fillId="2" borderId="12" xfId="0" applyNumberFormat="1" applyFont="1" applyFill="1" applyBorder="1" applyAlignment="1">
      <alignment horizontal="center" vertical="center" wrapText="1"/>
    </xf>
    <xf numFmtId="167" fontId="13" fillId="2" borderId="13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center" wrapText="1"/>
    </xf>
    <xf numFmtId="167" fontId="13" fillId="2" borderId="11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167" fontId="7" fillId="9" borderId="8" xfId="0" applyNumberFormat="1" applyFont="1" applyFill="1" applyBorder="1" applyAlignment="1">
      <alignment horizontal="center"/>
    </xf>
    <xf numFmtId="0" fontId="89" fillId="0" borderId="11" xfId="0" applyFont="1" applyBorder="1" applyAlignment="1">
      <alignment horizontal="center" vertical="center"/>
    </xf>
    <xf numFmtId="0" fontId="89" fillId="10" borderId="12" xfId="0" applyFont="1" applyFill="1" applyBorder="1" applyAlignment="1">
      <alignment horizontal="center" vertical="center"/>
    </xf>
    <xf numFmtId="0" fontId="12" fillId="0" borderId="19" xfId="0" applyFont="1" applyBorder="1"/>
    <xf numFmtId="167" fontId="12" fillId="0" borderId="17" xfId="0" applyNumberFormat="1" applyFont="1" applyBorder="1"/>
    <xf numFmtId="0" fontId="12" fillId="0" borderId="12" xfId="0" applyFont="1" applyBorder="1"/>
    <xf numFmtId="167" fontId="12" fillId="0" borderId="8" xfId="0" applyNumberFormat="1" applyFont="1" applyBorder="1"/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10" borderId="12" xfId="0" applyFont="1" applyFill="1" applyBorder="1"/>
    <xf numFmtId="0" fontId="12" fillId="10" borderId="8" xfId="0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167" fontId="12" fillId="10" borderId="8" xfId="0" applyNumberFormat="1" applyFont="1" applyFill="1" applyBorder="1"/>
    <xf numFmtId="0" fontId="12" fillId="0" borderId="28" xfId="0" applyFont="1" applyBorder="1" applyAlignment="1">
      <alignment horizontal="center" vertical="center"/>
    </xf>
    <xf numFmtId="167" fontId="12" fillId="0" borderId="41" xfId="0" applyNumberFormat="1" applyFont="1" applyBorder="1"/>
    <xf numFmtId="0" fontId="12" fillId="0" borderId="15" xfId="0" applyFont="1" applyBorder="1"/>
    <xf numFmtId="49" fontId="91" fillId="2" borderId="36" xfId="0" applyNumberFormat="1" applyFont="1" applyFill="1" applyBorder="1" applyAlignment="1">
      <alignment horizontal="center" vertical="center" wrapText="1"/>
    </xf>
    <xf numFmtId="49" fontId="91" fillId="2" borderId="36" xfId="0" applyNumberFormat="1" applyFont="1" applyFill="1" applyBorder="1" applyAlignment="1">
      <alignment horizontal="right" vertical="center" wrapText="1"/>
    </xf>
    <xf numFmtId="167" fontId="12" fillId="0" borderId="14" xfId="0" applyNumberFormat="1" applyFont="1" applyBorder="1"/>
    <xf numFmtId="167" fontId="12" fillId="0" borderId="15" xfId="0" applyNumberFormat="1" applyFont="1" applyBorder="1"/>
    <xf numFmtId="0" fontId="12" fillId="10" borderId="15" xfId="0" applyFont="1" applyFill="1" applyBorder="1" applyAlignment="1">
      <alignment horizontal="center" vertical="center"/>
    </xf>
    <xf numFmtId="167" fontId="12" fillId="10" borderId="15" xfId="0" applyNumberFormat="1" applyFont="1" applyFill="1" applyBorder="1"/>
    <xf numFmtId="167" fontId="12" fillId="0" borderId="18" xfId="0" applyNumberFormat="1" applyFont="1" applyBorder="1"/>
    <xf numFmtId="49" fontId="91" fillId="0" borderId="33" xfId="0" applyNumberFormat="1" applyFont="1" applyBorder="1" applyAlignment="1">
      <alignment wrapText="1"/>
    </xf>
    <xf numFmtId="167" fontId="12" fillId="0" borderId="33" xfId="0" applyNumberFormat="1" applyFont="1" applyBorder="1"/>
    <xf numFmtId="0" fontId="89" fillId="0" borderId="20" xfId="0" applyFont="1" applyBorder="1" applyAlignment="1">
      <alignment horizontal="center" vertical="center"/>
    </xf>
    <xf numFmtId="0" fontId="89" fillId="0" borderId="22" xfId="0" applyFont="1" applyBorder="1" applyAlignment="1">
      <alignment horizontal="center" vertical="center"/>
    </xf>
    <xf numFmtId="0" fontId="89" fillId="0" borderId="23" xfId="0" applyFont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46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167" fontId="12" fillId="0" borderId="7" xfId="0" applyNumberFormat="1" applyFont="1" applyBorder="1" applyAlignment="1">
      <alignment horizontal="right"/>
    </xf>
    <xf numFmtId="49" fontId="0" fillId="0" borderId="36" xfId="0" applyNumberFormat="1" applyBorder="1"/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166" fontId="54" fillId="0" borderId="22" xfId="0" applyNumberFormat="1" applyFont="1" applyBorder="1" applyAlignment="1">
      <alignment horizontal="center" vertical="center"/>
    </xf>
    <xf numFmtId="166" fontId="54" fillId="0" borderId="4" xfId="0" applyNumberFormat="1" applyFont="1" applyBorder="1" applyAlignment="1">
      <alignment horizontal="center" vertical="center"/>
    </xf>
    <xf numFmtId="166" fontId="54" fillId="0" borderId="4" xfId="1" applyNumberFormat="1" applyFont="1" applyBorder="1" applyAlignment="1">
      <alignment horizontal="center" vertical="center"/>
    </xf>
    <xf numFmtId="0" fontId="54" fillId="0" borderId="24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66" fontId="54" fillId="0" borderId="6" xfId="0" applyNumberFormat="1" applyFont="1" applyBorder="1" applyAlignment="1">
      <alignment horizontal="center" vertical="center"/>
    </xf>
    <xf numFmtId="166" fontId="54" fillId="0" borderId="6" xfId="1" applyNumberFormat="1" applyFont="1" applyBorder="1" applyAlignment="1">
      <alignment horizontal="center" vertical="center"/>
    </xf>
    <xf numFmtId="0" fontId="7" fillId="0" borderId="14" xfId="0" applyFont="1" applyBorder="1"/>
    <xf numFmtId="0" fontId="7" fillId="0" borderId="14" xfId="0" applyFont="1" applyBorder="1" applyAlignment="1">
      <alignment horizontal="center" vertical="center"/>
    </xf>
    <xf numFmtId="167" fontId="7" fillId="0" borderId="14" xfId="0" applyNumberFormat="1" applyFont="1" applyBorder="1"/>
    <xf numFmtId="166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0" fontId="17" fillId="5" borderId="9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0" fillId="0" borderId="0" xfId="0" applyFill="1"/>
    <xf numFmtId="167" fontId="12" fillId="0" borderId="12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167" fontId="12" fillId="0" borderId="11" xfId="0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7" fillId="5" borderId="1" xfId="0" applyNumberFormat="1" applyFont="1" applyFill="1" applyBorder="1" applyAlignment="1">
      <alignment horizontal="center" vertical="center"/>
    </xf>
    <xf numFmtId="167" fontId="12" fillId="0" borderId="19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5" borderId="41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167" fontId="17" fillId="5" borderId="23" xfId="0" applyNumberFormat="1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167" fontId="17" fillId="5" borderId="22" xfId="0" applyNumberFormat="1" applyFont="1" applyFill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7" fontId="12" fillId="0" borderId="2" xfId="0" applyNumberFormat="1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49" fontId="91" fillId="0" borderId="12" xfId="0" applyNumberFormat="1" applyFont="1" applyBorder="1" applyAlignment="1">
      <alignment vertical="center" wrapText="1"/>
    </xf>
    <xf numFmtId="49" fontId="91" fillId="0" borderId="25" xfId="0" applyNumberFormat="1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0" fillId="0" borderId="24" xfId="0" applyFill="1" applyBorder="1"/>
    <xf numFmtId="0" fontId="0" fillId="0" borderId="25" xfId="0" applyBorder="1"/>
    <xf numFmtId="49" fontId="91" fillId="0" borderId="11" xfId="0" applyNumberFormat="1" applyFont="1" applyBorder="1" applyAlignment="1">
      <alignment vertical="center" wrapText="1"/>
    </xf>
    <xf numFmtId="0" fontId="0" fillId="0" borderId="5" xfId="0" applyBorder="1"/>
    <xf numFmtId="0" fontId="0" fillId="0" borderId="4" xfId="0" applyBorder="1"/>
    <xf numFmtId="0" fontId="0" fillId="0" borderId="11" xfId="0" applyBorder="1"/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5" xfId="0" applyFont="1" applyBorder="1"/>
    <xf numFmtId="0" fontId="1" fillId="0" borderId="14" xfId="0" applyFont="1" applyBorder="1"/>
    <xf numFmtId="49" fontId="92" fillId="0" borderId="33" xfId="0" applyNumberFormat="1" applyFont="1" applyBorder="1" applyAlignment="1">
      <alignment wrapText="1"/>
    </xf>
    <xf numFmtId="49" fontId="92" fillId="0" borderId="15" xfId="0" applyNumberFormat="1" applyFont="1" applyBorder="1" applyAlignment="1">
      <alignment wrapText="1"/>
    </xf>
    <xf numFmtId="49" fontId="92" fillId="0" borderId="18" xfId="0" applyNumberFormat="1" applyFont="1" applyBorder="1" applyAlignment="1">
      <alignment wrapText="1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7" fontId="1" fillId="0" borderId="8" xfId="0" applyNumberFormat="1" applyFont="1" applyBorder="1"/>
    <xf numFmtId="167" fontId="1" fillId="0" borderId="15" xfId="0" applyNumberFormat="1" applyFont="1" applyBorder="1"/>
    <xf numFmtId="167" fontId="1" fillId="0" borderId="14" xfId="0" applyNumberFormat="1" applyFont="1" applyBorder="1"/>
    <xf numFmtId="167" fontId="1" fillId="0" borderId="33" xfId="0" applyNumberFormat="1" applyFont="1" applyBorder="1"/>
    <xf numFmtId="167" fontId="1" fillId="0" borderId="18" xfId="0" applyNumberFormat="1" applyFont="1" applyBorder="1"/>
    <xf numFmtId="0" fontId="17" fillId="5" borderId="9" xfId="0" applyFont="1" applyFill="1" applyBorder="1" applyAlignment="1">
      <alignment horizontal="center" vertical="center"/>
    </xf>
    <xf numFmtId="0" fontId="72" fillId="5" borderId="10" xfId="0" applyFont="1" applyFill="1" applyBorder="1" applyAlignment="1">
      <alignment horizontal="center" vertical="center" wrapText="1"/>
    </xf>
    <xf numFmtId="0" fontId="72" fillId="5" borderId="9" xfId="0" applyFont="1" applyFill="1" applyBorder="1" applyAlignment="1">
      <alignment horizontal="center" vertical="center"/>
    </xf>
    <xf numFmtId="0" fontId="72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17" fillId="0" borderId="0" xfId="0" applyFont="1" applyAlignment="1">
      <alignment horizontal="right" vertical="center"/>
    </xf>
    <xf numFmtId="0" fontId="48" fillId="8" borderId="10" xfId="0" applyFont="1" applyFill="1" applyBorder="1" applyAlignment="1">
      <alignment horizontal="center"/>
    </xf>
    <xf numFmtId="0" fontId="48" fillId="8" borderId="9" xfId="0" applyFont="1" applyFill="1" applyBorder="1" applyAlignment="1">
      <alignment horizontal="center"/>
    </xf>
    <xf numFmtId="0" fontId="48" fillId="8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38" fillId="5" borderId="10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0" xfId="0" applyFont="1" applyFill="1" applyBorder="1" applyAlignment="1">
      <alignment horizontal="center" vertical="center" wrapText="1"/>
    </xf>
    <xf numFmtId="0" fontId="38" fillId="5" borderId="9" xfId="0" applyFont="1" applyFill="1" applyBorder="1" applyAlignment="1">
      <alignment horizontal="center" vertical="center" wrapText="1"/>
    </xf>
    <xf numFmtId="0" fontId="38" fillId="5" borderId="1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 wrapText="1"/>
    </xf>
    <xf numFmtId="0" fontId="23" fillId="5" borderId="32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38" fillId="5" borderId="42" xfId="0" applyFont="1" applyFill="1" applyBorder="1" applyAlignment="1">
      <alignment horizontal="center" vertical="center"/>
    </xf>
    <xf numFmtId="0" fontId="38" fillId="5" borderId="44" xfId="0" applyFont="1" applyFill="1" applyBorder="1" applyAlignment="1">
      <alignment horizontal="center" vertical="center"/>
    </xf>
    <xf numFmtId="0" fontId="38" fillId="5" borderId="43" xfId="0" applyFont="1" applyFill="1" applyBorder="1" applyAlignment="1">
      <alignment horizontal="center" vertical="center"/>
    </xf>
    <xf numFmtId="0" fontId="40" fillId="5" borderId="10" xfId="0" applyFont="1" applyFill="1" applyBorder="1" applyAlignment="1">
      <alignment horizontal="center" vertical="center"/>
    </xf>
    <xf numFmtId="0" fontId="40" fillId="5" borderId="9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7" fillId="5" borderId="10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15" fillId="0" borderId="30" xfId="0" applyFont="1" applyBorder="1" applyAlignment="1">
      <alignment horizontal="right"/>
    </xf>
    <xf numFmtId="0" fontId="16" fillId="5" borderId="30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66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7" fillId="5" borderId="10" xfId="0" applyFont="1" applyFill="1" applyBorder="1" applyAlignment="1">
      <alignment horizontal="center" vertical="center"/>
    </xf>
    <xf numFmtId="0" fontId="67" fillId="5" borderId="9" xfId="0" applyFont="1" applyFill="1" applyBorder="1" applyAlignment="1">
      <alignment horizontal="center" vertical="center"/>
    </xf>
    <xf numFmtId="0" fontId="67" fillId="5" borderId="1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right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3" fillId="5" borderId="10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17" fillId="0" borderId="30" xfId="0" applyFont="1" applyBorder="1" applyAlignment="1">
      <alignment horizontal="right"/>
    </xf>
    <xf numFmtId="0" fontId="16" fillId="5" borderId="16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7" fillId="5" borderId="42" xfId="0" applyFont="1" applyFill="1" applyBorder="1" applyAlignment="1">
      <alignment horizontal="center" vertical="center"/>
    </xf>
    <xf numFmtId="0" fontId="17" fillId="5" borderId="43" xfId="0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/>
    </xf>
    <xf numFmtId="0" fontId="17" fillId="5" borderId="44" xfId="0" applyFont="1" applyFill="1" applyBorder="1" applyAlignment="1">
      <alignment horizontal="center"/>
    </xf>
    <xf numFmtId="0" fontId="17" fillId="5" borderId="43" xfId="0" applyFont="1" applyFill="1" applyBorder="1" applyAlignment="1">
      <alignment horizontal="center"/>
    </xf>
    <xf numFmtId="49" fontId="81" fillId="5" borderId="42" xfId="0" applyNumberFormat="1" applyFont="1" applyFill="1" applyBorder="1" applyAlignment="1">
      <alignment horizontal="center" wrapText="1"/>
    </xf>
    <xf numFmtId="49" fontId="81" fillId="5" borderId="44" xfId="0" applyNumberFormat="1" applyFont="1" applyFill="1" applyBorder="1" applyAlignment="1">
      <alignment horizontal="center" wrapText="1"/>
    </xf>
    <xf numFmtId="49" fontId="81" fillId="5" borderId="43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67" fillId="5" borderId="30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166" fontId="2" fillId="5" borderId="10" xfId="0" applyNumberFormat="1" applyFont="1" applyFill="1" applyBorder="1" applyAlignment="1">
      <alignment horizontal="center" vertical="center" wrapText="1"/>
    </xf>
    <xf numFmtId="166" fontId="2" fillId="5" borderId="9" xfId="0" applyNumberFormat="1" applyFont="1" applyFill="1" applyBorder="1" applyAlignment="1">
      <alignment horizontal="center" vertical="center" wrapText="1"/>
    </xf>
    <xf numFmtId="166" fontId="2" fillId="5" borderId="1" xfId="0" applyNumberFormat="1" applyFont="1" applyFill="1" applyBorder="1" applyAlignment="1">
      <alignment horizontal="center" vertical="center" wrapText="1"/>
    </xf>
    <xf numFmtId="166" fontId="2" fillId="5" borderId="42" xfId="1" applyNumberFormat="1" applyFont="1" applyFill="1" applyBorder="1" applyAlignment="1">
      <alignment horizontal="center" vertical="center" wrapText="1"/>
    </xf>
    <xf numFmtId="166" fontId="26" fillId="5" borderId="44" xfId="1" applyNumberFormat="1" applyFont="1" applyFill="1" applyBorder="1" applyAlignment="1">
      <alignment horizontal="center" vertical="center" wrapText="1"/>
    </xf>
    <xf numFmtId="166" fontId="26" fillId="5" borderId="43" xfId="1" applyNumberFormat="1" applyFont="1" applyFill="1" applyBorder="1" applyAlignment="1">
      <alignment horizontal="center" vertical="center" wrapText="1"/>
    </xf>
    <xf numFmtId="0" fontId="60" fillId="5" borderId="36" xfId="0" applyFont="1" applyFill="1" applyBorder="1" applyAlignment="1">
      <alignment horizontal="center" vertical="center" wrapText="1"/>
    </xf>
    <xf numFmtId="0" fontId="61" fillId="5" borderId="36" xfId="0" applyFont="1" applyFill="1" applyBorder="1" applyAlignment="1">
      <alignment horizontal="center"/>
    </xf>
    <xf numFmtId="0" fontId="59" fillId="0" borderId="37" xfId="0" applyFont="1" applyBorder="1" applyAlignment="1">
      <alignment horizontal="center" vertical="center" wrapText="1"/>
    </xf>
    <xf numFmtId="0" fontId="59" fillId="0" borderId="38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/>
    </xf>
    <xf numFmtId="0" fontId="59" fillId="0" borderId="38" xfId="0" applyFont="1" applyBorder="1" applyAlignment="1">
      <alignment horizontal="center" vertical="center"/>
    </xf>
    <xf numFmtId="166" fontId="59" fillId="0" borderId="37" xfId="0" applyNumberFormat="1" applyFont="1" applyBorder="1" applyAlignment="1">
      <alignment horizontal="center" vertical="center"/>
    </xf>
    <xf numFmtId="166" fontId="59" fillId="0" borderId="38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7" fillId="3" borderId="27" xfId="0" applyFont="1" applyFill="1" applyBorder="1" applyAlignment="1">
      <alignment horizontal="center" vertical="center" wrapText="1"/>
    </xf>
    <xf numFmtId="0" fontId="87" fillId="3" borderId="1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87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/>
    </xf>
    <xf numFmtId="0" fontId="86" fillId="0" borderId="19" xfId="0" applyFont="1" applyBorder="1" applyAlignment="1">
      <alignment horizontal="center" vertical="center"/>
    </xf>
    <xf numFmtId="0" fontId="86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2" fillId="0" borderId="19" xfId="0" applyFont="1" applyBorder="1" applyAlignment="1">
      <alignment horizontal="center" vertical="center" wrapText="1"/>
    </xf>
    <xf numFmtId="0" fontId="87" fillId="3" borderId="33" xfId="0" applyFont="1" applyFill="1" applyBorder="1" applyAlignment="1">
      <alignment horizontal="center" vertical="center" wrapText="1"/>
    </xf>
    <xf numFmtId="0" fontId="87" fillId="3" borderId="15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82" fillId="4" borderId="10" xfId="0" applyFont="1" applyFill="1" applyBorder="1" applyAlignment="1">
      <alignment horizontal="center" vertical="center"/>
    </xf>
    <xf numFmtId="0" fontId="82" fillId="4" borderId="9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68" fillId="5" borderId="16" xfId="0" applyFont="1" applyFill="1" applyBorder="1" applyAlignment="1">
      <alignment horizontal="center" vertical="center"/>
    </xf>
    <xf numFmtId="0" fontId="68" fillId="5" borderId="32" xfId="0" applyFont="1" applyFill="1" applyBorder="1" applyAlignment="1">
      <alignment horizontal="center" vertical="center"/>
    </xf>
    <xf numFmtId="0" fontId="68" fillId="5" borderId="29" xfId="0" applyFont="1" applyFill="1" applyBorder="1" applyAlignment="1">
      <alignment horizontal="center" vertical="center"/>
    </xf>
    <xf numFmtId="0" fontId="68" fillId="5" borderId="25" xfId="0" applyFont="1" applyFill="1" applyBorder="1" applyAlignment="1">
      <alignment horizontal="center" vertical="center"/>
    </xf>
    <xf numFmtId="0" fontId="68" fillId="5" borderId="30" xfId="0" applyFont="1" applyFill="1" applyBorder="1" applyAlignment="1">
      <alignment horizontal="center" vertical="center"/>
    </xf>
    <xf numFmtId="0" fontId="68" fillId="5" borderId="2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167" fontId="12" fillId="0" borderId="6" xfId="0" applyNumberFormat="1" applyFont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167" fontId="12" fillId="0" borderId="20" xfId="0" applyNumberFormat="1" applyFont="1" applyFill="1" applyBorder="1" applyAlignment="1">
      <alignment horizontal="center" vertical="center"/>
    </xf>
    <xf numFmtId="167" fontId="26" fillId="0" borderId="13" xfId="0" applyNumberFormat="1" applyFont="1" applyBorder="1" applyAlignment="1">
      <alignment horizontal="center" vertical="center"/>
    </xf>
    <xf numFmtId="167" fontId="26" fillId="0" borderId="11" xfId="0" applyNumberFormat="1" applyFont="1" applyBorder="1" applyAlignment="1">
      <alignment horizontal="center" vertical="center"/>
    </xf>
    <xf numFmtId="167" fontId="26" fillId="0" borderId="2" xfId="0" applyNumberFormat="1" applyFont="1" applyFill="1" applyBorder="1" applyAlignment="1">
      <alignment horizontal="center" vertical="center"/>
    </xf>
    <xf numFmtId="167" fontId="26" fillId="0" borderId="22" xfId="0" applyNumberFormat="1" applyFont="1" applyBorder="1" applyAlignment="1">
      <alignment horizontal="center" vertical="center"/>
    </xf>
    <xf numFmtId="167" fontId="26" fillId="0" borderId="34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167" fontId="26" fillId="0" borderId="19" xfId="0" applyNumberFormat="1" applyFont="1" applyFill="1" applyBorder="1" applyAlignment="1">
      <alignment horizontal="center" vertical="center"/>
    </xf>
    <xf numFmtId="167" fontId="26" fillId="0" borderId="11" xfId="0" applyNumberFormat="1" applyFont="1" applyFill="1" applyBorder="1" applyAlignment="1">
      <alignment horizontal="center" vertical="center"/>
    </xf>
    <xf numFmtId="167" fontId="26" fillId="0" borderId="12" xfId="0" applyNumberFormat="1" applyFont="1" applyFill="1" applyBorder="1" applyAlignment="1">
      <alignment horizontal="center" vertical="center"/>
    </xf>
    <xf numFmtId="167" fontId="17" fillId="5" borderId="3" xfId="0" applyNumberFormat="1" applyFont="1" applyFill="1" applyBorder="1" applyAlignment="1">
      <alignment horizontal="center" vertical="center"/>
    </xf>
    <xf numFmtId="167" fontId="26" fillId="0" borderId="6" xfId="0" applyNumberFormat="1" applyFont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8" fillId="5" borderId="25" xfId="0" applyFont="1" applyFill="1" applyBorder="1" applyAlignment="1">
      <alignment horizontal="center" vertical="center"/>
    </xf>
    <xf numFmtId="0" fontId="0" fillId="0" borderId="6" xfId="0" applyBorder="1"/>
    <xf numFmtId="167" fontId="26" fillId="0" borderId="19" xfId="0" applyNumberFormat="1" applyFont="1" applyBorder="1" applyAlignment="1">
      <alignment horizontal="center" vertical="center"/>
    </xf>
    <xf numFmtId="0" fontId="26" fillId="0" borderId="19" xfId="0" applyFont="1" applyFill="1" applyBorder="1" applyAlignment="1">
      <alignment vertical="center"/>
    </xf>
    <xf numFmtId="0" fontId="26" fillId="0" borderId="11" xfId="0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49" fontId="26" fillId="0" borderId="33" xfId="0" applyNumberFormat="1" applyFont="1" applyBorder="1" applyAlignment="1">
      <alignment vertical="center" wrapText="1"/>
    </xf>
    <xf numFmtId="49" fontId="26" fillId="0" borderId="14" xfId="0" applyNumberFormat="1" applyFont="1" applyBorder="1" applyAlignment="1">
      <alignment vertical="center" wrapText="1"/>
    </xf>
    <xf numFmtId="49" fontId="26" fillId="0" borderId="25" xfId="0" applyNumberFormat="1" applyFont="1" applyBorder="1" applyAlignment="1">
      <alignment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jpeg"/><Relationship Id="rId2" Type="http://schemas.openxmlformats.org/officeDocument/2006/relationships/image" Target="../media/image1.png"/><Relationship Id="rId1" Type="http://schemas.openxmlformats.org/officeDocument/2006/relationships/image" Target="../media/image45.jpeg"/><Relationship Id="rId4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48.png"/><Relationship Id="rId7" Type="http://schemas.openxmlformats.org/officeDocument/2006/relationships/image" Target="../media/image52.png"/><Relationship Id="rId2" Type="http://schemas.openxmlformats.org/officeDocument/2006/relationships/image" Target="../media/image47.jpeg"/><Relationship Id="rId1" Type="http://schemas.openxmlformats.org/officeDocument/2006/relationships/image" Target="../media/image1.png"/><Relationship Id="rId6" Type="http://schemas.openxmlformats.org/officeDocument/2006/relationships/image" Target="../media/image51.png"/><Relationship Id="rId5" Type="http://schemas.openxmlformats.org/officeDocument/2006/relationships/image" Target="../media/image50.jpeg"/><Relationship Id="rId4" Type="http://schemas.openxmlformats.org/officeDocument/2006/relationships/image" Target="../media/image49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jpeg"/><Relationship Id="rId13" Type="http://schemas.openxmlformats.org/officeDocument/2006/relationships/image" Target="../media/image63.jpeg"/><Relationship Id="rId18" Type="http://schemas.openxmlformats.org/officeDocument/2006/relationships/image" Target="../media/image68.jpeg"/><Relationship Id="rId26" Type="http://schemas.openxmlformats.org/officeDocument/2006/relationships/image" Target="../media/image34.jpeg"/><Relationship Id="rId3" Type="http://schemas.openxmlformats.org/officeDocument/2006/relationships/image" Target="../media/image54.jpeg"/><Relationship Id="rId21" Type="http://schemas.openxmlformats.org/officeDocument/2006/relationships/image" Target="../media/image71.jpeg"/><Relationship Id="rId7" Type="http://schemas.openxmlformats.org/officeDocument/2006/relationships/image" Target="../media/image57.jpeg"/><Relationship Id="rId12" Type="http://schemas.openxmlformats.org/officeDocument/2006/relationships/image" Target="../media/image62.jpeg"/><Relationship Id="rId17" Type="http://schemas.openxmlformats.org/officeDocument/2006/relationships/image" Target="../media/image67.jpeg"/><Relationship Id="rId25" Type="http://schemas.openxmlformats.org/officeDocument/2006/relationships/image" Target="../media/image75.jpeg"/><Relationship Id="rId2" Type="http://schemas.openxmlformats.org/officeDocument/2006/relationships/image" Target="../media/image1.png"/><Relationship Id="rId16" Type="http://schemas.openxmlformats.org/officeDocument/2006/relationships/image" Target="../media/image66.png"/><Relationship Id="rId20" Type="http://schemas.openxmlformats.org/officeDocument/2006/relationships/image" Target="../media/image70.jpeg"/><Relationship Id="rId1" Type="http://schemas.openxmlformats.org/officeDocument/2006/relationships/image" Target="../media/image53.jpeg"/><Relationship Id="rId6" Type="http://schemas.openxmlformats.org/officeDocument/2006/relationships/image" Target="../media/image56.jpeg"/><Relationship Id="rId11" Type="http://schemas.openxmlformats.org/officeDocument/2006/relationships/image" Target="../media/image61.jpeg"/><Relationship Id="rId24" Type="http://schemas.openxmlformats.org/officeDocument/2006/relationships/image" Target="../media/image74.jpeg"/><Relationship Id="rId5" Type="http://schemas.openxmlformats.org/officeDocument/2006/relationships/image" Target="../media/image55.jpeg"/><Relationship Id="rId15" Type="http://schemas.openxmlformats.org/officeDocument/2006/relationships/image" Target="../media/image65.png"/><Relationship Id="rId23" Type="http://schemas.openxmlformats.org/officeDocument/2006/relationships/image" Target="../media/image73.jpeg"/><Relationship Id="rId28" Type="http://schemas.openxmlformats.org/officeDocument/2006/relationships/image" Target="../media/image3.png"/><Relationship Id="rId10" Type="http://schemas.openxmlformats.org/officeDocument/2006/relationships/image" Target="../media/image60.jpeg"/><Relationship Id="rId19" Type="http://schemas.openxmlformats.org/officeDocument/2006/relationships/image" Target="../media/image69.jpeg"/><Relationship Id="rId4" Type="http://schemas.openxmlformats.org/officeDocument/2006/relationships/image" Target="../media/image32.jpeg"/><Relationship Id="rId9" Type="http://schemas.openxmlformats.org/officeDocument/2006/relationships/image" Target="../media/image59.jpeg"/><Relationship Id="rId14" Type="http://schemas.openxmlformats.org/officeDocument/2006/relationships/image" Target="../media/image64.png"/><Relationship Id="rId22" Type="http://schemas.openxmlformats.org/officeDocument/2006/relationships/image" Target="../media/image72.jpeg"/><Relationship Id="rId27" Type="http://schemas.openxmlformats.org/officeDocument/2006/relationships/image" Target="../media/image76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3.png"/><Relationship Id="rId3" Type="http://schemas.openxmlformats.org/officeDocument/2006/relationships/image" Target="../media/image78.png"/><Relationship Id="rId7" Type="http://schemas.openxmlformats.org/officeDocument/2006/relationships/image" Target="../media/image82.jpeg"/><Relationship Id="rId2" Type="http://schemas.openxmlformats.org/officeDocument/2006/relationships/image" Target="../media/image1.png"/><Relationship Id="rId1" Type="http://schemas.openxmlformats.org/officeDocument/2006/relationships/image" Target="../media/image77.jpeg"/><Relationship Id="rId6" Type="http://schemas.openxmlformats.org/officeDocument/2006/relationships/image" Target="../media/image81.jpeg"/><Relationship Id="rId5" Type="http://schemas.openxmlformats.org/officeDocument/2006/relationships/image" Target="../media/image80.png"/><Relationship Id="rId10" Type="http://schemas.openxmlformats.org/officeDocument/2006/relationships/image" Target="../media/image85.jpg"/><Relationship Id="rId4" Type="http://schemas.openxmlformats.org/officeDocument/2006/relationships/image" Target="../media/image79.jpeg"/><Relationship Id="rId9" Type="http://schemas.openxmlformats.org/officeDocument/2006/relationships/image" Target="../media/image8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3.jpeg"/><Relationship Id="rId13" Type="http://schemas.openxmlformats.org/officeDocument/2006/relationships/image" Target="../media/image98.png"/><Relationship Id="rId3" Type="http://schemas.openxmlformats.org/officeDocument/2006/relationships/image" Target="../media/image88.png"/><Relationship Id="rId7" Type="http://schemas.openxmlformats.org/officeDocument/2006/relationships/image" Target="../media/image92.png"/><Relationship Id="rId12" Type="http://schemas.openxmlformats.org/officeDocument/2006/relationships/image" Target="../media/image97.png"/><Relationship Id="rId2" Type="http://schemas.openxmlformats.org/officeDocument/2006/relationships/image" Target="../media/image87.png"/><Relationship Id="rId16" Type="http://schemas.openxmlformats.org/officeDocument/2006/relationships/image" Target="../media/image2.PNG"/><Relationship Id="rId1" Type="http://schemas.openxmlformats.org/officeDocument/2006/relationships/image" Target="../media/image86.jpeg"/><Relationship Id="rId6" Type="http://schemas.openxmlformats.org/officeDocument/2006/relationships/image" Target="../media/image91.png"/><Relationship Id="rId11" Type="http://schemas.openxmlformats.org/officeDocument/2006/relationships/image" Target="../media/image96.jpeg"/><Relationship Id="rId5" Type="http://schemas.openxmlformats.org/officeDocument/2006/relationships/image" Target="../media/image90.png"/><Relationship Id="rId15" Type="http://schemas.openxmlformats.org/officeDocument/2006/relationships/image" Target="../media/image1.png"/><Relationship Id="rId10" Type="http://schemas.openxmlformats.org/officeDocument/2006/relationships/image" Target="../media/image95.png"/><Relationship Id="rId4" Type="http://schemas.openxmlformats.org/officeDocument/2006/relationships/image" Target="../media/image89.png"/><Relationship Id="rId9" Type="http://schemas.openxmlformats.org/officeDocument/2006/relationships/image" Target="../media/image94.jpeg"/><Relationship Id="rId14" Type="http://schemas.openxmlformats.org/officeDocument/2006/relationships/image" Target="../media/image99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png"/><Relationship Id="rId13" Type="http://schemas.openxmlformats.org/officeDocument/2006/relationships/image" Target="../media/image92.png"/><Relationship Id="rId3" Type="http://schemas.openxmlformats.org/officeDocument/2006/relationships/image" Target="../media/image102.jpeg"/><Relationship Id="rId7" Type="http://schemas.openxmlformats.org/officeDocument/2006/relationships/image" Target="../media/image86.jpeg"/><Relationship Id="rId12" Type="http://schemas.openxmlformats.org/officeDocument/2006/relationships/image" Target="../media/image91.png"/><Relationship Id="rId2" Type="http://schemas.openxmlformats.org/officeDocument/2006/relationships/image" Target="../media/image101.jpeg"/><Relationship Id="rId1" Type="http://schemas.openxmlformats.org/officeDocument/2006/relationships/image" Target="../media/image100.jpeg"/><Relationship Id="rId6" Type="http://schemas.openxmlformats.org/officeDocument/2006/relationships/image" Target="../media/image1.png"/><Relationship Id="rId11" Type="http://schemas.openxmlformats.org/officeDocument/2006/relationships/image" Target="../media/image90.png"/><Relationship Id="rId5" Type="http://schemas.openxmlformats.org/officeDocument/2006/relationships/image" Target="../media/image98.png"/><Relationship Id="rId15" Type="http://schemas.openxmlformats.org/officeDocument/2006/relationships/image" Target="../media/image97.png"/><Relationship Id="rId10" Type="http://schemas.openxmlformats.org/officeDocument/2006/relationships/image" Target="../media/image89.png"/><Relationship Id="rId4" Type="http://schemas.openxmlformats.org/officeDocument/2006/relationships/image" Target="../media/image103.jpeg"/><Relationship Id="rId9" Type="http://schemas.openxmlformats.org/officeDocument/2006/relationships/image" Target="../media/image88.png"/><Relationship Id="rId14" Type="http://schemas.openxmlformats.org/officeDocument/2006/relationships/image" Target="../media/image95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05.png"/><Relationship Id="rId7" Type="http://schemas.openxmlformats.org/officeDocument/2006/relationships/image" Target="../media/image109.jpeg"/><Relationship Id="rId2" Type="http://schemas.openxmlformats.org/officeDocument/2006/relationships/image" Target="../media/image104.png"/><Relationship Id="rId1" Type="http://schemas.openxmlformats.org/officeDocument/2006/relationships/image" Target="../media/image1.png"/><Relationship Id="rId6" Type="http://schemas.openxmlformats.org/officeDocument/2006/relationships/image" Target="../media/image108.jpg"/><Relationship Id="rId11" Type="http://schemas.openxmlformats.org/officeDocument/2006/relationships/image" Target="../media/image112.jpg"/><Relationship Id="rId5" Type="http://schemas.openxmlformats.org/officeDocument/2006/relationships/image" Target="../media/image107.png"/><Relationship Id="rId10" Type="http://schemas.openxmlformats.org/officeDocument/2006/relationships/image" Target="../media/image111.jpeg"/><Relationship Id="rId4" Type="http://schemas.openxmlformats.org/officeDocument/2006/relationships/image" Target="../media/image106.png"/><Relationship Id="rId9" Type="http://schemas.openxmlformats.org/officeDocument/2006/relationships/image" Target="../media/image110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7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5.jpeg"/><Relationship Id="rId6" Type="http://schemas.openxmlformats.org/officeDocument/2006/relationships/image" Target="../media/image3.png"/><Relationship Id="rId5" Type="http://schemas.openxmlformats.org/officeDocument/2006/relationships/image" Target="../media/image8.jpe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image" Target="../media/image2.PNG"/><Relationship Id="rId2" Type="http://schemas.openxmlformats.org/officeDocument/2006/relationships/image" Target="../media/image5.jpeg"/><Relationship Id="rId1" Type="http://schemas.openxmlformats.org/officeDocument/2006/relationships/image" Target="../media/image11.jpeg"/><Relationship Id="rId6" Type="http://schemas.openxmlformats.org/officeDocument/2006/relationships/image" Target="../media/image3.png"/><Relationship Id="rId5" Type="http://schemas.openxmlformats.org/officeDocument/2006/relationships/image" Target="../media/image12.jpeg"/><Relationship Id="rId4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3.jpe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jpeg"/><Relationship Id="rId18" Type="http://schemas.openxmlformats.org/officeDocument/2006/relationships/image" Target="../media/image30.png"/><Relationship Id="rId3" Type="http://schemas.openxmlformats.org/officeDocument/2006/relationships/image" Target="../media/image16.jpeg"/><Relationship Id="rId7" Type="http://schemas.openxmlformats.org/officeDocument/2006/relationships/image" Target="../media/image19.png"/><Relationship Id="rId12" Type="http://schemas.openxmlformats.org/officeDocument/2006/relationships/image" Target="../media/image24.jpeg"/><Relationship Id="rId17" Type="http://schemas.openxmlformats.org/officeDocument/2006/relationships/image" Target="../media/image29.jpeg"/><Relationship Id="rId2" Type="http://schemas.openxmlformats.org/officeDocument/2006/relationships/image" Target="../media/image15.jpeg"/><Relationship Id="rId16" Type="http://schemas.openxmlformats.org/officeDocument/2006/relationships/image" Target="../media/image28.png"/><Relationship Id="rId20" Type="http://schemas.openxmlformats.org/officeDocument/2006/relationships/image" Target="../media/image2.PNG"/><Relationship Id="rId1" Type="http://schemas.openxmlformats.org/officeDocument/2006/relationships/image" Target="../media/image14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5" Type="http://schemas.openxmlformats.org/officeDocument/2006/relationships/image" Target="../media/image17.png"/><Relationship Id="rId15" Type="http://schemas.openxmlformats.org/officeDocument/2006/relationships/image" Target="../media/image27.jpeg"/><Relationship Id="rId10" Type="http://schemas.openxmlformats.org/officeDocument/2006/relationships/image" Target="../media/image22.jpeg"/><Relationship Id="rId19" Type="http://schemas.openxmlformats.org/officeDocument/2006/relationships/image" Target="../media/image31.jpeg"/><Relationship Id="rId4" Type="http://schemas.openxmlformats.org/officeDocument/2006/relationships/image" Target="../media/image1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2" Type="http://schemas.openxmlformats.org/officeDocument/2006/relationships/image" Target="../media/image32.jpeg"/><Relationship Id="rId1" Type="http://schemas.openxmlformats.org/officeDocument/2006/relationships/image" Target="../media/image1.png"/><Relationship Id="rId6" Type="http://schemas.openxmlformats.org/officeDocument/2006/relationships/image" Target="../media/image36.jpeg"/><Relationship Id="rId11" Type="http://schemas.openxmlformats.org/officeDocument/2006/relationships/image" Target="../media/image2.PNG"/><Relationship Id="rId5" Type="http://schemas.openxmlformats.org/officeDocument/2006/relationships/image" Target="../media/image35.jpeg"/><Relationship Id="rId10" Type="http://schemas.openxmlformats.org/officeDocument/2006/relationships/image" Target="../media/image3.png"/><Relationship Id="rId4" Type="http://schemas.openxmlformats.org/officeDocument/2006/relationships/image" Target="../media/image34.jpeg"/><Relationship Id="rId9" Type="http://schemas.openxmlformats.org/officeDocument/2006/relationships/image" Target="../media/image39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7" Type="http://schemas.openxmlformats.org/officeDocument/2006/relationships/image" Target="../media/image2.PNG"/><Relationship Id="rId2" Type="http://schemas.openxmlformats.org/officeDocument/2006/relationships/image" Target="../media/image40.jpeg"/><Relationship Id="rId1" Type="http://schemas.openxmlformats.org/officeDocument/2006/relationships/image" Target="../media/image1.png"/><Relationship Id="rId6" Type="http://schemas.openxmlformats.org/officeDocument/2006/relationships/image" Target="../media/image44.png"/><Relationship Id="rId5" Type="http://schemas.openxmlformats.org/officeDocument/2006/relationships/image" Target="../media/image43.jpeg"/><Relationship Id="rId4" Type="http://schemas.openxmlformats.org/officeDocument/2006/relationships/image" Target="../media/image4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0</xdr:row>
      <xdr:rowOff>259080</xdr:rowOff>
    </xdr:from>
    <xdr:ext cx="2324100" cy="556458"/>
    <xdr:pic>
      <xdr:nvPicPr>
        <xdr:cNvPr id="27" name="Рисунок 26" descr="ЛЕС У НАС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67640" y="259080"/>
          <a:ext cx="2324100" cy="556458"/>
        </a:xfrm>
        <a:prstGeom prst="rect">
          <a:avLst/>
        </a:prstGeom>
      </xdr:spPr>
    </xdr:pic>
    <xdr:clientData/>
  </xdr:oneCellAnchor>
  <xdr:twoCellAnchor editAs="oneCell">
    <xdr:from>
      <xdr:col>3</xdr:col>
      <xdr:colOff>340178</xdr:colOff>
      <xdr:row>0</xdr:row>
      <xdr:rowOff>231322</xdr:rowOff>
    </xdr:from>
    <xdr:to>
      <xdr:col>3</xdr:col>
      <xdr:colOff>1578428</xdr:colOff>
      <xdr:row>6</xdr:row>
      <xdr:rowOff>42962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2C9CF64-2CE4-4349-8730-E2BC13F5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214" y="231322"/>
          <a:ext cx="1238250" cy="13628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38099</xdr:colOff>
      <xdr:row>7</xdr:row>
      <xdr:rowOff>9525</xdr:rowOff>
    </xdr:from>
    <xdr:ext cx="2381251" cy="504825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7" t="10197" r="3918" b="18871"/>
        <a:stretch/>
      </xdr:blipFill>
      <xdr:spPr bwMode="auto">
        <a:xfrm>
          <a:off x="38099" y="1209675"/>
          <a:ext cx="2381251" cy="504825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</xdr:row>
      <xdr:rowOff>66675</xdr:rowOff>
    </xdr:from>
    <xdr:ext cx="2854962" cy="685800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" y="266700"/>
          <a:ext cx="2854962" cy="685800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51</xdr:row>
      <xdr:rowOff>37757</xdr:rowOff>
    </xdr:from>
    <xdr:ext cx="1905000" cy="819005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10172357"/>
          <a:ext cx="1905000" cy="819005"/>
        </a:xfrm>
        <a:prstGeom prst="rect">
          <a:avLst/>
        </a:prstGeom>
      </xdr:spPr>
    </xdr:pic>
    <xdr:clientData/>
  </xdr:oneCellAnchor>
  <xdr:twoCellAnchor editAs="oneCell">
    <xdr:from>
      <xdr:col>1</xdr:col>
      <xdr:colOff>371475</xdr:colOff>
      <xdr:row>1</xdr:row>
      <xdr:rowOff>0</xdr:rowOff>
    </xdr:from>
    <xdr:to>
      <xdr:col>4</xdr:col>
      <xdr:colOff>190554</xdr:colOff>
      <xdr:row>7</xdr:row>
      <xdr:rowOff>361950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0D6B182-A64D-403D-B5E3-E67FB459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200025"/>
          <a:ext cx="1419279" cy="1562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6136</xdr:colOff>
      <xdr:row>1</xdr:row>
      <xdr:rowOff>21412</xdr:rowOff>
    </xdr:from>
    <xdr:ext cx="2180473" cy="473887"/>
    <xdr:pic>
      <xdr:nvPicPr>
        <xdr:cNvPr id="3" name="Рисунок 2" descr="ЛЕС У НАС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6136" y="250012"/>
          <a:ext cx="2180473" cy="473887"/>
        </a:xfrm>
        <a:prstGeom prst="rect">
          <a:avLst/>
        </a:prstGeom>
      </xdr:spPr>
    </xdr:pic>
    <xdr:clientData/>
  </xdr:oneCellAnchor>
  <xdr:twoCellAnchor>
    <xdr:from>
      <xdr:col>1</xdr:col>
      <xdr:colOff>397565</xdr:colOff>
      <xdr:row>17</xdr:row>
      <xdr:rowOff>40684</xdr:rowOff>
    </xdr:from>
    <xdr:to>
      <xdr:col>1</xdr:col>
      <xdr:colOff>1432893</xdr:colOff>
      <xdr:row>18</xdr:row>
      <xdr:rowOff>687460</xdr:rowOff>
    </xdr:to>
    <xdr:pic>
      <xdr:nvPicPr>
        <xdr:cNvPr id="1025" name="Рисунок 1" descr="Сенеж">
          <a:extLst>
            <a:ext uri="{FF2B5EF4-FFF2-40B4-BE49-F238E27FC236}">
              <a16:creationId xmlns:a16="http://schemas.microsoft.com/office/drawing/2014/main" id="{00000000-0008-0000-09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4285" t="2757" r="11309" b="2966"/>
        <a:stretch>
          <a:fillRect/>
        </a:stretch>
      </xdr:blipFill>
      <xdr:spPr bwMode="auto">
        <a:xfrm>
          <a:off x="3553239" y="7271401"/>
          <a:ext cx="1035328" cy="1400494"/>
        </a:xfrm>
        <a:prstGeom prst="rect">
          <a:avLst/>
        </a:prstGeom>
        <a:noFill/>
      </xdr:spPr>
    </xdr:pic>
    <xdr:clientData/>
  </xdr:twoCellAnchor>
  <xdr:oneCellAnchor>
    <xdr:from>
      <xdr:col>1</xdr:col>
      <xdr:colOff>380998</xdr:colOff>
      <xdr:row>11</xdr:row>
      <xdr:rowOff>74543</xdr:rowOff>
    </xdr:from>
    <xdr:ext cx="1010474" cy="1374913"/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9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5086" t="3509" r="13600" b="5139"/>
        <a:stretch>
          <a:fillRect/>
        </a:stretch>
      </xdr:blipFill>
      <xdr:spPr bwMode="auto">
        <a:xfrm>
          <a:off x="3536672" y="2782956"/>
          <a:ext cx="1010474" cy="13749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>
    <xdr:from>
      <xdr:col>1</xdr:col>
      <xdr:colOff>397565</xdr:colOff>
      <xdr:row>13</xdr:row>
      <xdr:rowOff>132523</xdr:rowOff>
    </xdr:from>
    <xdr:to>
      <xdr:col>1</xdr:col>
      <xdr:colOff>1416326</xdr:colOff>
      <xdr:row>14</xdr:row>
      <xdr:rowOff>687462</xdr:rowOff>
    </xdr:to>
    <xdr:pic>
      <xdr:nvPicPr>
        <xdr:cNvPr id="1027" name="Рисунок 2" descr="Сенеж Био">
          <a:extLst>
            <a:ext uri="{FF2B5EF4-FFF2-40B4-BE49-F238E27FC236}">
              <a16:creationId xmlns:a16="http://schemas.microsoft.com/office/drawing/2014/main" id="{00000000-0008-0000-09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995" t="2564" r="13667" b="2564"/>
        <a:stretch>
          <a:fillRect/>
        </a:stretch>
      </xdr:blipFill>
      <xdr:spPr bwMode="auto">
        <a:xfrm>
          <a:off x="3553239" y="4348371"/>
          <a:ext cx="1018761" cy="1308656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405845</xdr:colOff>
      <xdr:row>19</xdr:row>
      <xdr:rowOff>70822</xdr:rowOff>
    </xdr:from>
    <xdr:to>
      <xdr:col>1</xdr:col>
      <xdr:colOff>1391475</xdr:colOff>
      <xdr:row>20</xdr:row>
      <xdr:rowOff>723900</xdr:rowOff>
    </xdr:to>
    <xdr:pic>
      <xdr:nvPicPr>
        <xdr:cNvPr id="1028" name="Рисунок 3" descr="Сенеж огнебио проф">
          <a:extLst>
            <a:ext uri="{FF2B5EF4-FFF2-40B4-BE49-F238E27FC236}">
              <a16:creationId xmlns:a16="http://schemas.microsoft.com/office/drawing/2014/main" id="{00000000-0008-0000-09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4297" t="2674" r="10366" b="2674"/>
        <a:stretch>
          <a:fillRect/>
        </a:stretch>
      </xdr:blipFill>
      <xdr:spPr bwMode="auto">
        <a:xfrm>
          <a:off x="3558620" y="9138622"/>
          <a:ext cx="985630" cy="1405553"/>
        </a:xfrm>
        <a:prstGeom prst="rect">
          <a:avLst/>
        </a:prstGeom>
        <a:noFill/>
      </xdr:spPr>
    </xdr:pic>
    <xdr:clientData/>
  </xdr:twoCellAnchor>
  <xdr:oneCellAnchor>
    <xdr:from>
      <xdr:col>1</xdr:col>
      <xdr:colOff>397564</xdr:colOff>
      <xdr:row>15</xdr:row>
      <xdr:rowOff>49674</xdr:rowOff>
    </xdr:from>
    <xdr:ext cx="985628" cy="1374914"/>
    <xdr:pic>
      <xdr:nvPicPr>
        <xdr:cNvPr id="34" name="Рисунок 33" descr="C:\Users\Алексей\Desktop\ОПИСАНИЕ СЕНЕЖ\Сенеж ультра.png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l="9639" t="7871" r="14773" b="2496"/>
        <a:stretch>
          <a:fillRect/>
        </a:stretch>
      </xdr:blipFill>
      <xdr:spPr bwMode="auto">
        <a:xfrm>
          <a:off x="3553238" y="5772957"/>
          <a:ext cx="985628" cy="1374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7</xdr:row>
      <xdr:rowOff>47625</xdr:rowOff>
    </xdr:from>
    <xdr:ext cx="2716818" cy="706373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419225"/>
          <a:ext cx="2716818" cy="706373"/>
        </a:xfrm>
        <a:prstGeom prst="rect">
          <a:avLst/>
        </a:prstGeom>
      </xdr:spPr>
    </xdr:pic>
    <xdr:clientData/>
  </xdr:oneCellAnchor>
  <xdr:twoCellAnchor editAs="oneCell">
    <xdr:from>
      <xdr:col>2</xdr:col>
      <xdr:colOff>304800</xdr:colOff>
      <xdr:row>1</xdr:row>
      <xdr:rowOff>28575</xdr:rowOff>
    </xdr:from>
    <xdr:to>
      <xdr:col>3</xdr:col>
      <xdr:colOff>981286</xdr:colOff>
      <xdr:row>7</xdr:row>
      <xdr:rowOff>324083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7DD9E4-7328-4AE5-A6F5-9F9A66FE0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257175"/>
          <a:ext cx="1514686" cy="166710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180611</xdr:colOff>
      <xdr:row>4</xdr:row>
      <xdr:rowOff>89322</xdr:rowOff>
    </xdr:from>
    <xdr:ext cx="3536518" cy="770649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726382" y="1319408"/>
          <a:ext cx="3536518" cy="770649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62612</xdr:colOff>
      <xdr:row>28</xdr:row>
      <xdr:rowOff>347637</xdr:rowOff>
    </xdr:from>
    <xdr:ext cx="1262216" cy="789502"/>
    <xdr:pic>
      <xdr:nvPicPr>
        <xdr:cNvPr id="26" name="Picture 648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042"/>
        <a:stretch>
          <a:fillRect/>
        </a:stretch>
      </xdr:blipFill>
      <xdr:spPr bwMode="auto">
        <a:xfrm>
          <a:off x="3016827" y="10986329"/>
          <a:ext cx="1262216" cy="789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6136</xdr:colOff>
      <xdr:row>0</xdr:row>
      <xdr:rowOff>187066</xdr:rowOff>
    </xdr:from>
    <xdr:ext cx="2185135" cy="451109"/>
    <xdr:pic>
      <xdr:nvPicPr>
        <xdr:cNvPr id="5" name="Рисунок 4" descr="ЛЕС У НАС.png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136" y="187066"/>
          <a:ext cx="2185135" cy="451109"/>
        </a:xfrm>
        <a:prstGeom prst="rect">
          <a:avLst/>
        </a:prstGeom>
      </xdr:spPr>
    </xdr:pic>
    <xdr:clientData/>
  </xdr:oneCellAnchor>
  <xdr:oneCellAnchor>
    <xdr:from>
      <xdr:col>1</xdr:col>
      <xdr:colOff>10788</xdr:colOff>
      <xdr:row>19</xdr:row>
      <xdr:rowOff>260042</xdr:rowOff>
    </xdr:from>
    <xdr:ext cx="1403890" cy="849902"/>
    <xdr:pic>
      <xdr:nvPicPr>
        <xdr:cNvPr id="12" name="Picture 602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67348" y="5182562"/>
          <a:ext cx="1403890" cy="849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1389578</xdr:colOff>
      <xdr:row>19</xdr:row>
      <xdr:rowOff>257723</xdr:rowOff>
    </xdr:from>
    <xdr:ext cx="886897" cy="847168"/>
    <xdr:pic>
      <xdr:nvPicPr>
        <xdr:cNvPr id="13" name="Picture 604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66128" y="4924973"/>
          <a:ext cx="886897" cy="847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14282</xdr:colOff>
      <xdr:row>12</xdr:row>
      <xdr:rowOff>15673</xdr:rowOff>
    </xdr:from>
    <xdr:ext cx="1275641" cy="822528"/>
    <xdr:pic>
      <xdr:nvPicPr>
        <xdr:cNvPr id="17" name="Picture 612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14657" y="2968423"/>
          <a:ext cx="1275641" cy="822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1221313</xdr:colOff>
      <xdr:row>12</xdr:row>
      <xdr:rowOff>19481</xdr:rowOff>
    </xdr:from>
    <xdr:ext cx="1064687" cy="820263"/>
    <xdr:pic>
      <xdr:nvPicPr>
        <xdr:cNvPr id="18" name="Picture 614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221688" y="2972231"/>
          <a:ext cx="1064687" cy="820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11722</xdr:colOff>
      <xdr:row>22</xdr:row>
      <xdr:rowOff>171155</xdr:rowOff>
    </xdr:from>
    <xdr:ext cx="1125416" cy="904547"/>
    <xdr:pic>
      <xdr:nvPicPr>
        <xdr:cNvPr id="21" name="Picture 638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68282" y="6030935"/>
          <a:ext cx="1125416" cy="904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1330569</xdr:colOff>
      <xdr:row>27</xdr:row>
      <xdr:rowOff>12786</xdr:rowOff>
    </xdr:from>
    <xdr:ext cx="1031631" cy="805487"/>
    <xdr:pic>
      <xdr:nvPicPr>
        <xdr:cNvPr id="22" name="Picture 640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6988" r="8754" b="6759"/>
        <a:stretch>
          <a:fillRect/>
        </a:stretch>
      </xdr:blipFill>
      <xdr:spPr bwMode="auto">
        <a:xfrm>
          <a:off x="4207119" y="6851736"/>
          <a:ext cx="1031631" cy="805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252060</xdr:colOff>
      <xdr:row>32</xdr:row>
      <xdr:rowOff>23471</xdr:rowOff>
    </xdr:from>
    <xdr:ext cx="1195754" cy="769009"/>
    <xdr:pic>
      <xdr:nvPicPr>
        <xdr:cNvPr id="24" name="Picture 644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1485" r="15093"/>
        <a:stretch>
          <a:fillRect/>
        </a:stretch>
      </xdr:blipFill>
      <xdr:spPr bwMode="auto">
        <a:xfrm>
          <a:off x="3208620" y="9807551"/>
          <a:ext cx="1195754" cy="769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64480</xdr:colOff>
      <xdr:row>30</xdr:row>
      <xdr:rowOff>173729</xdr:rowOff>
    </xdr:from>
    <xdr:ext cx="1242646" cy="816867"/>
    <xdr:pic>
      <xdr:nvPicPr>
        <xdr:cNvPr id="25" name="Picture 646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11910" r="7117" b="7600"/>
        <a:stretch>
          <a:fillRect/>
        </a:stretch>
      </xdr:blipFill>
      <xdr:spPr bwMode="auto">
        <a:xfrm>
          <a:off x="3018695" y="11773714"/>
          <a:ext cx="1242646" cy="816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64477</xdr:colOff>
      <xdr:row>27</xdr:row>
      <xdr:rowOff>17585</xdr:rowOff>
    </xdr:from>
    <xdr:ext cx="1266092" cy="814754"/>
    <xdr:pic>
      <xdr:nvPicPr>
        <xdr:cNvPr id="27" name="Picture 650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3531" t="15204" r="8586" b="4074"/>
        <a:stretch>
          <a:fillRect/>
        </a:stretch>
      </xdr:blipFill>
      <xdr:spPr bwMode="auto">
        <a:xfrm>
          <a:off x="3018692" y="10175631"/>
          <a:ext cx="1266092" cy="81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1318847</xdr:colOff>
      <xdr:row>28</xdr:row>
      <xdr:rowOff>346372</xdr:rowOff>
    </xdr:from>
    <xdr:ext cx="1024303" cy="781972"/>
    <xdr:pic>
      <xdr:nvPicPr>
        <xdr:cNvPr id="28" name="Picture 654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5553" r="2602" b="6041"/>
        <a:stretch>
          <a:fillRect/>
        </a:stretch>
      </xdr:blipFill>
      <xdr:spPr bwMode="auto">
        <a:xfrm>
          <a:off x="4195397" y="7585372"/>
          <a:ext cx="1024303" cy="781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1281477</xdr:colOff>
      <xdr:row>30</xdr:row>
      <xdr:rowOff>194897</xdr:rowOff>
    </xdr:from>
    <xdr:ext cx="1033098" cy="811824"/>
    <xdr:pic>
      <xdr:nvPicPr>
        <xdr:cNvPr id="29" name="Picture 656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5252" r="9181" b="11590"/>
        <a:stretch>
          <a:fillRect/>
        </a:stretch>
      </xdr:blipFill>
      <xdr:spPr bwMode="auto">
        <a:xfrm>
          <a:off x="4158027" y="8233997"/>
          <a:ext cx="1033098" cy="811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1447814</xdr:colOff>
      <xdr:row>32</xdr:row>
      <xdr:rowOff>190500</xdr:rowOff>
    </xdr:from>
    <xdr:ext cx="844061" cy="609600"/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13539" r="5799"/>
        <a:stretch>
          <a:fillRect/>
        </a:stretch>
      </xdr:blipFill>
      <xdr:spPr bwMode="auto">
        <a:xfrm>
          <a:off x="4404374" y="9974580"/>
          <a:ext cx="844061" cy="609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166808</xdr:colOff>
      <xdr:row>43</xdr:row>
      <xdr:rowOff>79372</xdr:rowOff>
    </xdr:from>
    <xdr:ext cx="2109667" cy="1621378"/>
    <xdr:pic>
      <xdr:nvPicPr>
        <xdr:cNvPr id="31" name="Picture 65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4242" r="9091" b="8087"/>
        <a:stretch>
          <a:fillRect/>
        </a:stretch>
      </xdr:blipFill>
      <xdr:spPr bwMode="auto">
        <a:xfrm>
          <a:off x="3043358" y="10271122"/>
          <a:ext cx="2109667" cy="1621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157549</xdr:colOff>
      <xdr:row>52</xdr:row>
      <xdr:rowOff>177071</xdr:rowOff>
    </xdr:from>
    <xdr:ext cx="2090351" cy="1247284"/>
    <xdr:pic>
      <xdr:nvPicPr>
        <xdr:cNvPr id="32" name="Picture 658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034099" y="12426221"/>
          <a:ext cx="2090351" cy="1247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84063</xdr:colOff>
      <xdr:row>59</xdr:row>
      <xdr:rowOff>200938</xdr:rowOff>
    </xdr:from>
    <xdr:ext cx="2201937" cy="1244792"/>
    <xdr:pic>
      <xdr:nvPicPr>
        <xdr:cNvPr id="33" name="Picture 660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960613" y="14050288"/>
          <a:ext cx="2201937" cy="124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294666</xdr:colOff>
      <xdr:row>73</xdr:row>
      <xdr:rowOff>15591</xdr:rowOff>
    </xdr:from>
    <xdr:ext cx="906785" cy="578769"/>
    <xdr:pic>
      <xdr:nvPicPr>
        <xdr:cNvPr id="34" name="Picture 59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9311" t="15855" r="6152" b="11726"/>
        <a:stretch>
          <a:fillRect/>
        </a:stretch>
      </xdr:blipFill>
      <xdr:spPr bwMode="auto">
        <a:xfrm>
          <a:off x="3251226" y="17800671"/>
          <a:ext cx="906785" cy="5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1544121</xdr:colOff>
      <xdr:row>73</xdr:row>
      <xdr:rowOff>16776</xdr:rowOff>
    </xdr:from>
    <xdr:ext cx="700999" cy="577584"/>
    <xdr:pic>
      <xdr:nvPicPr>
        <xdr:cNvPr id="35" name="Picture 652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8392" r="17114" b="2262"/>
        <a:stretch>
          <a:fillRect/>
        </a:stretch>
      </xdr:blipFill>
      <xdr:spPr bwMode="auto">
        <a:xfrm>
          <a:off x="4500681" y="17801856"/>
          <a:ext cx="700999" cy="577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615099</xdr:colOff>
      <xdr:row>67</xdr:row>
      <xdr:rowOff>39757</xdr:rowOff>
    </xdr:from>
    <xdr:ext cx="1424555" cy="1119808"/>
    <xdr:pic>
      <xdr:nvPicPr>
        <xdr:cNvPr id="36" name="Picture 4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t="5487" r="6344" b="4086"/>
        <a:stretch>
          <a:fillRect/>
        </a:stretch>
      </xdr:blipFill>
      <xdr:spPr bwMode="auto">
        <a:xfrm>
          <a:off x="3570334" y="18029583"/>
          <a:ext cx="1424555" cy="1119808"/>
        </a:xfrm>
        <a:prstGeom prst="rect">
          <a:avLst/>
        </a:prstGeom>
        <a:noFill/>
      </xdr:spPr>
    </xdr:pic>
    <xdr:clientData/>
  </xdr:oneCellAnchor>
  <xdr:oneCellAnchor>
    <xdr:from>
      <xdr:col>1</xdr:col>
      <xdr:colOff>22861</xdr:colOff>
      <xdr:row>80</xdr:row>
      <xdr:rowOff>27505</xdr:rowOff>
    </xdr:from>
    <xdr:ext cx="2263139" cy="1184075"/>
    <xdr:pic>
      <xdr:nvPicPr>
        <xdr:cNvPr id="37" name="Picture 662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99411" y="18763180"/>
          <a:ext cx="2263139" cy="118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865034</xdr:colOff>
      <xdr:row>22</xdr:row>
      <xdr:rowOff>171593</xdr:rowOff>
    </xdr:from>
    <xdr:ext cx="1401916" cy="886959"/>
    <xdr:pic>
      <xdr:nvPicPr>
        <xdr:cNvPr id="20" name="Picture 618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741584" y="5667518"/>
          <a:ext cx="1401916" cy="886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244427</xdr:colOff>
      <xdr:row>77</xdr:row>
      <xdr:rowOff>30480</xdr:rowOff>
    </xdr:from>
    <xdr:ext cx="563293" cy="436488"/>
    <xdr:pic>
      <xdr:nvPicPr>
        <xdr:cNvPr id="38" name="Рисунок 37" descr="C:\Users\Turin\Desktop\Штапик оконный.jpg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rcRect l="18883" t="32784" r="49269" b="23176"/>
        <a:stretch>
          <a:fillRect/>
        </a:stretch>
      </xdr:blipFill>
      <xdr:spPr bwMode="auto">
        <a:xfrm>
          <a:off x="3200987" y="18912840"/>
          <a:ext cx="563293" cy="4364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1530569</xdr:colOff>
      <xdr:row>77</xdr:row>
      <xdr:rowOff>17227</xdr:rowOff>
    </xdr:from>
    <xdr:ext cx="525517" cy="401873"/>
    <xdr:pic>
      <xdr:nvPicPr>
        <xdr:cNvPr id="39" name="Рисунок 38" descr="C:\Users\Turin\Desktop\Штапик квадратный.jpg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rcRect t="43746" r="59282" b="15727"/>
        <a:stretch>
          <a:fillRect/>
        </a:stretch>
      </xdr:blipFill>
      <xdr:spPr bwMode="auto">
        <a:xfrm>
          <a:off x="4407119" y="18724327"/>
          <a:ext cx="525517" cy="401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1181571</xdr:colOff>
      <xdr:row>14</xdr:row>
      <xdr:rowOff>206593</xdr:rowOff>
    </xdr:from>
    <xdr:ext cx="1104429" cy="815179"/>
    <xdr:pic>
      <xdr:nvPicPr>
        <xdr:cNvPr id="15" name="Picture 608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58121" y="3492718"/>
          <a:ext cx="1104429" cy="81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12920</xdr:colOff>
      <xdr:row>14</xdr:row>
      <xdr:rowOff>207021</xdr:rowOff>
    </xdr:from>
    <xdr:ext cx="1223191" cy="829595"/>
    <xdr:pic>
      <xdr:nvPicPr>
        <xdr:cNvPr id="19" name="Picture 616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969480" y="3567441"/>
          <a:ext cx="1223191" cy="829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1381679</xdr:colOff>
      <xdr:row>17</xdr:row>
      <xdr:rowOff>70901</xdr:rowOff>
    </xdr:from>
    <xdr:ext cx="904321" cy="817256"/>
    <xdr:pic>
      <xdr:nvPicPr>
        <xdr:cNvPr id="14" name="Picture 606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258229" y="4185701"/>
          <a:ext cx="904321" cy="817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4475</xdr:colOff>
      <xdr:row>17</xdr:row>
      <xdr:rowOff>92837</xdr:rowOff>
    </xdr:from>
    <xdr:ext cx="1376090" cy="799970"/>
    <xdr:pic>
      <xdr:nvPicPr>
        <xdr:cNvPr id="16" name="Picture 610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961035" y="4390517"/>
          <a:ext cx="1376090" cy="799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2743200</xdr:colOff>
      <xdr:row>67</xdr:row>
      <xdr:rowOff>205740</xdr:rowOff>
    </xdr:from>
    <xdr:ext cx="1066800" cy="220054"/>
    <xdr:pic>
      <xdr:nvPicPr>
        <xdr:cNvPr id="3" name="Рисунок 2" descr="C:\Users\Алексей\Desktop\62102b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rcRect t="32051" b="33151"/>
        <a:stretch>
          <a:fillRect/>
        </a:stretch>
      </xdr:blipFill>
      <xdr:spPr bwMode="auto">
        <a:xfrm>
          <a:off x="2743200" y="16977360"/>
          <a:ext cx="1066800" cy="220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2343150</xdr:colOff>
      <xdr:row>45</xdr:row>
      <xdr:rowOff>9525</xdr:rowOff>
    </xdr:from>
    <xdr:ext cx="986790" cy="220054"/>
    <xdr:pic>
      <xdr:nvPicPr>
        <xdr:cNvPr id="40" name="Рисунок 39" descr="C:\Users\Алексей\Desktop\62102b.jpg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rcRect t="32051" b="33151"/>
        <a:stretch>
          <a:fillRect/>
        </a:stretch>
      </xdr:blipFill>
      <xdr:spPr bwMode="auto">
        <a:xfrm>
          <a:off x="2343150" y="11268075"/>
          <a:ext cx="986790" cy="220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358140</xdr:colOff>
      <xdr:row>37</xdr:row>
      <xdr:rowOff>451823</xdr:rowOff>
    </xdr:from>
    <xdr:ext cx="2557630" cy="1333161"/>
    <xdr:pic>
      <xdr:nvPicPr>
        <xdr:cNvPr id="53" name="Рисунок 52" descr="C:\Users\Turin\Desktop\195_original.jpg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25140" y="12880043"/>
          <a:ext cx="2557630" cy="1333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</xdr:row>
      <xdr:rowOff>74296</xdr:rowOff>
    </xdr:from>
    <xdr:ext cx="2095500" cy="422419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0" y="302896"/>
          <a:ext cx="2095500" cy="422419"/>
        </a:xfrm>
        <a:prstGeom prst="rect">
          <a:avLst/>
        </a:prstGeom>
      </xdr:spPr>
    </xdr:pic>
    <xdr:clientData/>
  </xdr:oneCellAnchor>
  <xdr:oneCellAnchor>
    <xdr:from>
      <xdr:col>1</xdr:col>
      <xdr:colOff>690357</xdr:colOff>
      <xdr:row>14</xdr:row>
      <xdr:rowOff>57150</xdr:rowOff>
    </xdr:from>
    <xdr:ext cx="619125" cy="20002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3637" y="3829050"/>
          <a:ext cx="619125" cy="2000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690357</xdr:colOff>
      <xdr:row>15</xdr:row>
      <xdr:rowOff>65432</xdr:rowOff>
    </xdr:from>
    <xdr:ext cx="619125" cy="200025"/>
    <xdr:pic>
      <xdr:nvPicPr>
        <xdr:cNvPr id="7" name="Picture 4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3637" y="4111652"/>
          <a:ext cx="619125" cy="2000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690357</xdr:colOff>
      <xdr:row>16</xdr:row>
      <xdr:rowOff>57149</xdr:rowOff>
    </xdr:from>
    <xdr:ext cx="619125" cy="200025"/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3637" y="4377689"/>
          <a:ext cx="619125" cy="2000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690357</xdr:colOff>
      <xdr:row>17</xdr:row>
      <xdr:rowOff>40584</xdr:rowOff>
    </xdr:from>
    <xdr:ext cx="619125" cy="200025"/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3637" y="4635444"/>
          <a:ext cx="619125" cy="2000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690357</xdr:colOff>
      <xdr:row>18</xdr:row>
      <xdr:rowOff>65432</xdr:rowOff>
    </xdr:from>
    <xdr:ext cx="619125" cy="200025"/>
    <xdr:pic>
      <xdr:nvPicPr>
        <xdr:cNvPr id="13" name="Picture 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3637" y="4934612"/>
          <a:ext cx="619125" cy="2000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690357</xdr:colOff>
      <xdr:row>21</xdr:row>
      <xdr:rowOff>65432</xdr:rowOff>
    </xdr:from>
    <xdr:ext cx="619125" cy="200025"/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3637" y="5208932"/>
          <a:ext cx="619125" cy="2000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43214</xdr:colOff>
      <xdr:row>14</xdr:row>
      <xdr:rowOff>33617</xdr:rowOff>
    </xdr:from>
    <xdr:ext cx="3139257" cy="2241805"/>
    <xdr:pic>
      <xdr:nvPicPr>
        <xdr:cNvPr id="64" name="Picture 4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11920" y="2913529"/>
          <a:ext cx="3139257" cy="2241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44823</xdr:colOff>
      <xdr:row>23</xdr:row>
      <xdr:rowOff>53340</xdr:rowOff>
    </xdr:from>
    <xdr:ext cx="3152409" cy="2310653"/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3440" b="2111"/>
        <a:stretch>
          <a:fillRect/>
        </a:stretch>
      </xdr:blipFill>
      <xdr:spPr bwMode="auto">
        <a:xfrm>
          <a:off x="2913529" y="5488193"/>
          <a:ext cx="3152409" cy="2310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1703294</xdr:colOff>
      <xdr:row>28</xdr:row>
      <xdr:rowOff>22412</xdr:rowOff>
    </xdr:from>
    <xdr:ext cx="1479177" cy="1364877"/>
    <xdr:pic>
      <xdr:nvPicPr>
        <xdr:cNvPr id="38" name="Рисунок 37" descr="C:\Users\Turin\Desktop\Окончания-поручня-из-сосны.jpg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72000" y="8090647"/>
          <a:ext cx="1479177" cy="13648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51996</xdr:colOff>
      <xdr:row>28</xdr:row>
      <xdr:rowOff>33617</xdr:rowOff>
    </xdr:from>
    <xdr:ext cx="1606474" cy="1355912"/>
    <xdr:pic>
      <xdr:nvPicPr>
        <xdr:cNvPr id="40" name="Рисунок 39" descr="C:\Users\Turin\Desktop\Перила.jpg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20702" y="8101852"/>
          <a:ext cx="1606474" cy="1355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111050</xdr:colOff>
      <xdr:row>45</xdr:row>
      <xdr:rowOff>333626</xdr:rowOff>
    </xdr:from>
    <xdr:ext cx="2588895" cy="1436120"/>
    <xdr:pic>
      <xdr:nvPicPr>
        <xdr:cNvPr id="52" name="Рисунок 51" descr="C:\Users\Turin\Desktop\подступенок-бук.png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 l="13209" t="30420" r="15362" b="30353"/>
        <a:stretch>
          <a:fillRect/>
        </a:stretch>
      </xdr:blipFill>
      <xdr:spPr bwMode="auto">
        <a:xfrm>
          <a:off x="2979756" y="16570950"/>
          <a:ext cx="2588895" cy="1436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379096</xdr:colOff>
      <xdr:row>41</xdr:row>
      <xdr:rowOff>426720</xdr:rowOff>
    </xdr:from>
    <xdr:ext cx="2534452" cy="1882137"/>
    <xdr:pic>
      <xdr:nvPicPr>
        <xdr:cNvPr id="51" name="Рисунок 50" descr="C:\Users\Turin\Desktop\Ступенька.png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 t="13232" b="12395"/>
        <a:stretch>
          <a:fillRect/>
        </a:stretch>
      </xdr:blipFill>
      <xdr:spPr bwMode="auto">
        <a:xfrm>
          <a:off x="3046096" y="15506700"/>
          <a:ext cx="2534452" cy="18821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11207</xdr:colOff>
      <xdr:row>49</xdr:row>
      <xdr:rowOff>324969</xdr:rowOff>
    </xdr:from>
    <xdr:ext cx="3227294" cy="1512795"/>
    <xdr:pic>
      <xdr:nvPicPr>
        <xdr:cNvPr id="6" name="Рисунок 5">
          <a:extLst>
            <a:ext uri="{FF2B5EF4-FFF2-40B4-BE49-F238E27FC236}">
              <a16:creationId xmlns:a16="http://schemas.microsoft.com/office/drawing/2014/main" id="{CAA654D6-A837-40E7-A143-0B7F67C81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79913" y="18848293"/>
          <a:ext cx="3227294" cy="151279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43306</xdr:colOff>
      <xdr:row>17</xdr:row>
      <xdr:rowOff>44825</xdr:rowOff>
    </xdr:from>
    <xdr:ext cx="2148772" cy="862853"/>
    <xdr:pic>
      <xdr:nvPicPr>
        <xdr:cNvPr id="2" name="Рисунок 10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6" y="9525001"/>
          <a:ext cx="2148772" cy="86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6565</xdr:colOff>
      <xdr:row>14</xdr:row>
      <xdr:rowOff>257737</xdr:rowOff>
    </xdr:from>
    <xdr:ext cx="2247035" cy="918882"/>
    <xdr:pic>
      <xdr:nvPicPr>
        <xdr:cNvPr id="3" name="Рисунок 1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" y="8516472"/>
          <a:ext cx="2247035" cy="918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44824</xdr:colOff>
      <xdr:row>19</xdr:row>
      <xdr:rowOff>11207</xdr:rowOff>
    </xdr:from>
    <xdr:ext cx="2225232" cy="918882"/>
    <xdr:pic>
      <xdr:nvPicPr>
        <xdr:cNvPr id="4" name="Рисунок 1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4" y="10421472"/>
          <a:ext cx="2225232" cy="918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288243</xdr:colOff>
      <xdr:row>21</xdr:row>
      <xdr:rowOff>102774</xdr:rowOff>
    </xdr:from>
    <xdr:ext cx="1619250" cy="809625"/>
    <xdr:pic>
      <xdr:nvPicPr>
        <xdr:cNvPr id="5" name="Рисунок 17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43" y="11443127"/>
          <a:ext cx="16192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294090</xdr:colOff>
      <xdr:row>22</xdr:row>
      <xdr:rowOff>41711</xdr:rowOff>
    </xdr:from>
    <xdr:ext cx="1457325" cy="742950"/>
    <xdr:pic>
      <xdr:nvPicPr>
        <xdr:cNvPr id="6" name="Рисунок 19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090" y="12390593"/>
          <a:ext cx="14573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382929</xdr:colOff>
      <xdr:row>23</xdr:row>
      <xdr:rowOff>44702</xdr:rowOff>
    </xdr:from>
    <xdr:ext cx="1466850" cy="790575"/>
    <xdr:pic>
      <xdr:nvPicPr>
        <xdr:cNvPr id="7" name="Рисунок 21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29" y="13189202"/>
          <a:ext cx="14668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673728</xdr:colOff>
      <xdr:row>25</xdr:row>
      <xdr:rowOff>26620</xdr:rowOff>
    </xdr:from>
    <xdr:ext cx="847725" cy="895350"/>
    <xdr:pic>
      <xdr:nvPicPr>
        <xdr:cNvPr id="8" name="Рисунок 2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3"/>
        <a:stretch>
          <a:fillRect/>
        </a:stretch>
      </xdr:blipFill>
      <xdr:spPr bwMode="auto">
        <a:xfrm>
          <a:off x="673728" y="15367473"/>
          <a:ext cx="8477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57150</xdr:rowOff>
    </xdr:from>
    <xdr:ext cx="2000250" cy="1228725"/>
    <xdr:pic>
      <xdr:nvPicPr>
        <xdr:cNvPr id="9" name="Рисунок 2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875"/>
          <a:ext cx="20002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66675</xdr:rowOff>
    </xdr:from>
    <xdr:ext cx="2009775" cy="1228725"/>
    <xdr:pic>
      <xdr:nvPicPr>
        <xdr:cNvPr id="10" name="Рисунок 26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20097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640370</xdr:colOff>
      <xdr:row>24</xdr:row>
      <xdr:rowOff>52384</xdr:rowOff>
    </xdr:from>
    <xdr:ext cx="942975" cy="904875"/>
    <xdr:pic>
      <xdr:nvPicPr>
        <xdr:cNvPr id="11" name="Рисунок 1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06"/>
        <a:stretch>
          <a:fillRect/>
        </a:stretch>
      </xdr:blipFill>
      <xdr:spPr bwMode="auto">
        <a:xfrm>
          <a:off x="640370" y="12663484"/>
          <a:ext cx="9429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95250</xdr:colOff>
      <xdr:row>11</xdr:row>
      <xdr:rowOff>57150</xdr:rowOff>
    </xdr:from>
    <xdr:ext cx="2000250" cy="1228725"/>
    <xdr:pic>
      <xdr:nvPicPr>
        <xdr:cNvPr id="12" name="Рисунок 24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90875"/>
          <a:ext cx="20002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10</xdr:row>
      <xdr:rowOff>66675</xdr:rowOff>
    </xdr:from>
    <xdr:ext cx="2009775" cy="1228725"/>
    <xdr:pic>
      <xdr:nvPicPr>
        <xdr:cNvPr id="13" name="Рисунок 26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57375"/>
          <a:ext cx="20097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70402</xdr:rowOff>
    </xdr:from>
    <xdr:ext cx="2093843" cy="1228725"/>
    <xdr:pic>
      <xdr:nvPicPr>
        <xdr:cNvPr id="14" name="Рисунок 28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7152"/>
          <a:ext cx="2093843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495300</xdr:colOff>
      <xdr:row>26</xdr:row>
      <xdr:rowOff>18676</xdr:rowOff>
    </xdr:from>
    <xdr:ext cx="1170533" cy="792549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 bwMode="auto">
        <a:xfrm>
          <a:off x="495300" y="16356852"/>
          <a:ext cx="1170533" cy="792549"/>
        </a:xfrm>
        <a:prstGeom prst="rect">
          <a:avLst/>
        </a:prstGeom>
      </xdr:spPr>
    </xdr:pic>
    <xdr:clientData/>
  </xdr:oneCellAnchor>
  <xdr:oneCellAnchor>
    <xdr:from>
      <xdr:col>0</xdr:col>
      <xdr:colOff>207598</xdr:colOff>
      <xdr:row>7</xdr:row>
      <xdr:rowOff>174269</xdr:rowOff>
    </xdr:from>
    <xdr:ext cx="4338684" cy="1136819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29" t="29870" r="4749" b="28571"/>
        <a:stretch/>
      </xdr:blipFill>
      <xdr:spPr bwMode="auto">
        <a:xfrm>
          <a:off x="207598" y="1720681"/>
          <a:ext cx="4338684" cy="1136819"/>
        </a:xfrm>
        <a:prstGeom prst="rect">
          <a:avLst/>
        </a:prstGeom>
      </xdr:spPr>
    </xdr:pic>
    <xdr:clientData/>
  </xdr:oneCellAnchor>
  <xdr:oneCellAnchor>
    <xdr:from>
      <xdr:col>0</xdr:col>
      <xdr:colOff>13253</xdr:colOff>
      <xdr:row>13</xdr:row>
      <xdr:rowOff>53008</xdr:rowOff>
    </xdr:from>
    <xdr:ext cx="2093843" cy="1228725"/>
    <xdr:pic>
      <xdr:nvPicPr>
        <xdr:cNvPr id="17" name="Рисунок 2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3" y="5872783"/>
          <a:ext cx="2093843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</xdr:row>
      <xdr:rowOff>9525</xdr:rowOff>
    </xdr:from>
    <xdr:ext cx="3732157" cy="800100"/>
    <xdr:pic>
      <xdr:nvPicPr>
        <xdr:cNvPr id="18" name="Рисунок 17" descr="ЛЕС У НАС.png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 bwMode="auto">
        <a:xfrm>
          <a:off x="0" y="266700"/>
          <a:ext cx="3732157" cy="800100"/>
        </a:xfrm>
        <a:prstGeom prst="rect">
          <a:avLst/>
        </a:prstGeom>
      </xdr:spPr>
    </xdr:pic>
    <xdr:clientData/>
  </xdr:oneCellAnchor>
  <xdr:oneCellAnchor>
    <xdr:from>
      <xdr:col>1</xdr:col>
      <xdr:colOff>2206842</xdr:colOff>
      <xdr:row>8</xdr:row>
      <xdr:rowOff>24246</xdr:rowOff>
    </xdr:from>
    <xdr:ext cx="2287421" cy="937629"/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/>
      </xdr:nvSpPr>
      <xdr:spPr>
        <a:xfrm>
          <a:off x="4448018" y="1817187"/>
          <a:ext cx="2287421" cy="937629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0160">
                <a:solidFill>
                  <a:schemeClr val="bg1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СМАРТ</a:t>
          </a:r>
        </a:p>
      </xdr:txBody>
    </xdr:sp>
    <xdr:clientData/>
  </xdr:oneCellAnchor>
  <xdr:twoCellAnchor editAs="oneCell">
    <xdr:from>
      <xdr:col>3</xdr:col>
      <xdr:colOff>1266265</xdr:colOff>
      <xdr:row>0</xdr:row>
      <xdr:rowOff>112058</xdr:rowOff>
    </xdr:from>
    <xdr:to>
      <xdr:col>4</xdr:col>
      <xdr:colOff>259627</xdr:colOff>
      <xdr:row>6</xdr:row>
      <xdr:rowOff>232754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14FB509-C398-458B-B36B-414C1385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3559" y="112058"/>
          <a:ext cx="1514686" cy="166710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78271</xdr:colOff>
      <xdr:row>12</xdr:row>
      <xdr:rowOff>38100</xdr:rowOff>
    </xdr:from>
    <xdr:ext cx="1969604" cy="1257300"/>
    <xdr:pic>
      <xdr:nvPicPr>
        <xdr:cNvPr id="21" name="Рисунок 21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1" y="5572125"/>
          <a:ext cx="1969604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76199</xdr:colOff>
      <xdr:row>11</xdr:row>
      <xdr:rowOff>47625</xdr:rowOff>
    </xdr:from>
    <xdr:ext cx="1971675" cy="1254919"/>
    <xdr:pic>
      <xdr:nvPicPr>
        <xdr:cNvPr id="22" name="Рисунок 25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4229100"/>
          <a:ext cx="1971675" cy="1254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10</xdr:row>
      <xdr:rowOff>47625</xdr:rowOff>
    </xdr:from>
    <xdr:ext cx="1962150" cy="1262898"/>
    <xdr:pic>
      <xdr:nvPicPr>
        <xdr:cNvPr id="23" name="Рисунок 27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76550"/>
          <a:ext cx="1962150" cy="1262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79513</xdr:colOff>
      <xdr:row>13</xdr:row>
      <xdr:rowOff>50937</xdr:rowOff>
    </xdr:from>
    <xdr:ext cx="1968362" cy="1253987"/>
    <xdr:pic>
      <xdr:nvPicPr>
        <xdr:cNvPr id="32" name="Рисунок 2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13" y="6937512"/>
          <a:ext cx="1968362" cy="1253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5036</xdr:colOff>
      <xdr:row>7</xdr:row>
      <xdr:rowOff>169210</xdr:rowOff>
    </xdr:from>
    <xdr:ext cx="4340925" cy="1137379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29" t="29870" r="4749" b="28571"/>
        <a:stretch/>
      </xdr:blipFill>
      <xdr:spPr bwMode="auto">
        <a:xfrm>
          <a:off x="5036" y="1715622"/>
          <a:ext cx="4340925" cy="113737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9525</xdr:rowOff>
    </xdr:from>
    <xdr:ext cx="3832280" cy="920564"/>
    <xdr:pic>
      <xdr:nvPicPr>
        <xdr:cNvPr id="17" name="Рисунок 16" descr="ЛЕС У НАС.png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 bwMode="auto">
        <a:xfrm>
          <a:off x="0" y="267260"/>
          <a:ext cx="3832280" cy="920564"/>
        </a:xfrm>
        <a:prstGeom prst="rect">
          <a:avLst/>
        </a:prstGeom>
      </xdr:spPr>
    </xdr:pic>
    <xdr:clientData/>
  </xdr:oneCellAnchor>
  <xdr:oneCellAnchor>
    <xdr:from>
      <xdr:col>0</xdr:col>
      <xdr:colOff>14329</xdr:colOff>
      <xdr:row>17</xdr:row>
      <xdr:rowOff>17366</xdr:rowOff>
    </xdr:from>
    <xdr:ext cx="2151013" cy="865654"/>
    <xdr:pic>
      <xdr:nvPicPr>
        <xdr:cNvPr id="41" name="Рисунок 1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9" y="9430307"/>
          <a:ext cx="2151013" cy="865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191061</xdr:rowOff>
    </xdr:from>
    <xdr:ext cx="2249276" cy="917762"/>
    <xdr:pic>
      <xdr:nvPicPr>
        <xdr:cNvPr id="42" name="Рисунок 13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1002"/>
          <a:ext cx="2249276" cy="917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4641</xdr:colOff>
      <xdr:row>19</xdr:row>
      <xdr:rowOff>2241</xdr:rowOff>
    </xdr:from>
    <xdr:ext cx="2227473" cy="919443"/>
    <xdr:pic>
      <xdr:nvPicPr>
        <xdr:cNvPr id="43" name="Рисунок 15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1" y="10322859"/>
          <a:ext cx="2227473" cy="919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281678</xdr:colOff>
      <xdr:row>21</xdr:row>
      <xdr:rowOff>49545</xdr:rowOff>
    </xdr:from>
    <xdr:ext cx="1619250" cy="814667"/>
    <xdr:pic>
      <xdr:nvPicPr>
        <xdr:cNvPr id="44" name="Рисунок 17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78" y="11188192"/>
          <a:ext cx="1619250" cy="814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287525</xdr:colOff>
      <xdr:row>22</xdr:row>
      <xdr:rowOff>52915</xdr:rowOff>
    </xdr:from>
    <xdr:ext cx="1457325" cy="744631"/>
    <xdr:pic>
      <xdr:nvPicPr>
        <xdr:cNvPr id="45" name="Рисунок 19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25" y="12200091"/>
          <a:ext cx="1457325" cy="744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376364</xdr:colOff>
      <xdr:row>23</xdr:row>
      <xdr:rowOff>23970</xdr:rowOff>
    </xdr:from>
    <xdr:ext cx="1466850" cy="793937"/>
    <xdr:pic>
      <xdr:nvPicPr>
        <xdr:cNvPr id="46" name="Рисунок 21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64" y="12955558"/>
          <a:ext cx="1466850" cy="79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667163</xdr:colOff>
      <xdr:row>25</xdr:row>
      <xdr:rowOff>46229</xdr:rowOff>
    </xdr:from>
    <xdr:ext cx="847725" cy="898712"/>
    <xdr:pic>
      <xdr:nvPicPr>
        <xdr:cNvPr id="47" name="Рисунок 23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3"/>
        <a:stretch>
          <a:fillRect/>
        </a:stretch>
      </xdr:blipFill>
      <xdr:spPr bwMode="auto">
        <a:xfrm>
          <a:off x="667163" y="14815582"/>
          <a:ext cx="847725" cy="898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633805</xdr:colOff>
      <xdr:row>24</xdr:row>
      <xdr:rowOff>23807</xdr:rowOff>
    </xdr:from>
    <xdr:ext cx="942975" cy="908236"/>
    <xdr:pic>
      <xdr:nvPicPr>
        <xdr:cNvPr id="48" name="Рисунок 1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06"/>
        <a:stretch>
          <a:fillRect/>
        </a:stretch>
      </xdr:blipFill>
      <xdr:spPr bwMode="auto">
        <a:xfrm>
          <a:off x="633805" y="13818248"/>
          <a:ext cx="942975" cy="908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488735</xdr:colOff>
      <xdr:row>26</xdr:row>
      <xdr:rowOff>20916</xdr:rowOff>
    </xdr:from>
    <xdr:ext cx="1170533" cy="779102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 bwMode="auto">
        <a:xfrm>
          <a:off x="488735" y="15765181"/>
          <a:ext cx="1170533" cy="779102"/>
        </a:xfrm>
        <a:prstGeom prst="rect">
          <a:avLst/>
        </a:prstGeom>
      </xdr:spPr>
    </xdr:pic>
    <xdr:clientData/>
  </xdr:oneCellAnchor>
  <xdr:oneCellAnchor>
    <xdr:from>
      <xdr:col>1</xdr:col>
      <xdr:colOff>1997976</xdr:colOff>
      <xdr:row>8</xdr:row>
      <xdr:rowOff>112058</xdr:rowOff>
    </xdr:from>
    <xdr:ext cx="2793008" cy="781111"/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/>
      </xdr:nvSpPr>
      <xdr:spPr>
        <a:xfrm>
          <a:off x="4171917" y="1927411"/>
          <a:ext cx="2793008" cy="781111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4400" b="1" cap="none" spc="0">
              <a:ln w="10160">
                <a:solidFill>
                  <a:schemeClr val="bg1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ЧЕРЕПИЦА</a:t>
          </a:r>
          <a:endParaRPr lang="ru-RU" sz="5400" b="1" cap="none" spc="0">
            <a:ln w="10160">
              <a:solidFill>
                <a:schemeClr val="bg1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9526</xdr:rowOff>
    </xdr:from>
    <xdr:ext cx="2724150" cy="596557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228601"/>
          <a:ext cx="2724150" cy="596557"/>
        </a:xfrm>
        <a:prstGeom prst="rect">
          <a:avLst/>
        </a:prstGeom>
      </xdr:spPr>
    </xdr:pic>
    <xdr:clientData/>
  </xdr:oneCellAnchor>
  <xdr:oneCellAnchor>
    <xdr:from>
      <xdr:col>0</xdr:col>
      <xdr:colOff>83820</xdr:colOff>
      <xdr:row>23</xdr:row>
      <xdr:rowOff>0</xdr:rowOff>
    </xdr:from>
    <xdr:ext cx="1127760" cy="232628"/>
    <xdr:pic>
      <xdr:nvPicPr>
        <xdr:cNvPr id="21" name="Рисунок 20" descr="C:\Users\Алексей\Desktop\62102b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556260" y="6553200"/>
          <a:ext cx="1127760" cy="232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83820</xdr:colOff>
      <xdr:row>22</xdr:row>
      <xdr:rowOff>22860</xdr:rowOff>
    </xdr:from>
    <xdr:ext cx="1148715" cy="232628"/>
    <xdr:pic>
      <xdr:nvPicPr>
        <xdr:cNvPr id="5" name="Рисунок 4" descr="C:\Users\Алексей\Desktop\62102b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556260" y="6225540"/>
          <a:ext cx="1148715" cy="232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83820</xdr:colOff>
      <xdr:row>37</xdr:row>
      <xdr:rowOff>30480</xdr:rowOff>
    </xdr:from>
    <xdr:ext cx="1148715" cy="232628"/>
    <xdr:pic>
      <xdr:nvPicPr>
        <xdr:cNvPr id="9" name="Рисунок 8" descr="C:\Users\Алексей\Desktop\62102b.jp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556260" y="12938760"/>
          <a:ext cx="1148715" cy="232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83820</xdr:colOff>
      <xdr:row>17</xdr:row>
      <xdr:rowOff>15240</xdr:rowOff>
    </xdr:from>
    <xdr:ext cx="1148715" cy="232628"/>
    <xdr:pic>
      <xdr:nvPicPr>
        <xdr:cNvPr id="12" name="Рисунок 11" descr="C:\Users\Алексей\Desktop\62102b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556260" y="4785360"/>
          <a:ext cx="1148715" cy="232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83820</xdr:colOff>
      <xdr:row>21</xdr:row>
      <xdr:rowOff>22860</xdr:rowOff>
    </xdr:from>
    <xdr:ext cx="1148715" cy="232628"/>
    <xdr:pic>
      <xdr:nvPicPr>
        <xdr:cNvPr id="13" name="Рисунок 12" descr="C:\Users\Алексей\Desktop\62102b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556260" y="5958840"/>
          <a:ext cx="1148715" cy="232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83820</xdr:colOff>
      <xdr:row>36</xdr:row>
      <xdr:rowOff>30480</xdr:rowOff>
    </xdr:from>
    <xdr:ext cx="1127760" cy="232628"/>
    <xdr:pic>
      <xdr:nvPicPr>
        <xdr:cNvPr id="11" name="Рисунок 10" descr="C:\Users\Алексей\Desktop\62102b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541020" y="12593955"/>
          <a:ext cx="1127760" cy="232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1171575</xdr:colOff>
      <xdr:row>0</xdr:row>
      <xdr:rowOff>200025</xdr:rowOff>
    </xdr:from>
    <xdr:to>
      <xdr:col>4</xdr:col>
      <xdr:colOff>609600</xdr:colOff>
      <xdr:row>6</xdr:row>
      <xdr:rowOff>80693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15AABE4-49D0-4E3E-AF68-A742947B4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200025"/>
          <a:ext cx="1085850" cy="11951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182096</xdr:colOff>
      <xdr:row>1</xdr:row>
      <xdr:rowOff>84383</xdr:rowOff>
    </xdr:from>
    <xdr:ext cx="2828924" cy="675446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4E991DCE-0F09-4323-951D-FDB9154D2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82096" y="375736"/>
          <a:ext cx="2828924" cy="675446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9525</xdr:rowOff>
    </xdr:from>
    <xdr:to>
      <xdr:col>0</xdr:col>
      <xdr:colOff>2457451</xdr:colOff>
      <xdr:row>13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7D2A584-FECF-4947-B185-767AF8ADE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79" t="16900" r="4577" b="20423"/>
        <a:stretch/>
      </xdr:blipFill>
      <xdr:spPr>
        <a:xfrm>
          <a:off x="0" y="2152650"/>
          <a:ext cx="2457451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</xdr:row>
      <xdr:rowOff>96118</xdr:rowOff>
    </xdr:from>
    <xdr:to>
      <xdr:col>1</xdr:col>
      <xdr:colOff>7500</xdr:colOff>
      <xdr:row>16</xdr:row>
      <xdr:rowOff>77933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786D740-0176-4C26-B9A0-C907075D5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19853" r="5882" b="17893"/>
        <a:stretch/>
      </xdr:blipFill>
      <xdr:spPr>
        <a:xfrm>
          <a:off x="47625" y="3750254"/>
          <a:ext cx="2488330" cy="8823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77067</xdr:rowOff>
    </xdr:from>
    <xdr:to>
      <xdr:col>0</xdr:col>
      <xdr:colOff>2519285</xdr:colOff>
      <xdr:row>20</xdr:row>
      <xdr:rowOff>49357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C0B32E8-1F3C-4CB4-BE5D-27770F99F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t="20098" r="6128" b="19607"/>
        <a:stretch/>
      </xdr:blipFill>
      <xdr:spPr>
        <a:xfrm>
          <a:off x="0" y="5532294"/>
          <a:ext cx="2519285" cy="8728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94384</xdr:rowOff>
    </xdr:from>
    <xdr:to>
      <xdr:col>0</xdr:col>
      <xdr:colOff>2468745</xdr:colOff>
      <xdr:row>17</xdr:row>
      <xdr:rowOff>412174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50FA248-E50D-4B0C-8368-79EF6CDD6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9" t="19915" r="6096" b="25919"/>
        <a:stretch/>
      </xdr:blipFill>
      <xdr:spPr>
        <a:xfrm>
          <a:off x="0" y="4649066"/>
          <a:ext cx="2468745" cy="76806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22</xdr:row>
      <xdr:rowOff>90208</xdr:rowOff>
    </xdr:from>
    <xdr:to>
      <xdr:col>0</xdr:col>
      <xdr:colOff>2455580</xdr:colOff>
      <xdr:row>27</xdr:row>
      <xdr:rowOff>175932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06D490C-1A69-4D37-89F3-1282E4FB4C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" r="3667"/>
        <a:stretch/>
      </xdr:blipFill>
      <xdr:spPr>
        <a:xfrm>
          <a:off x="95250" y="7855884"/>
          <a:ext cx="2360330" cy="1374401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42</xdr:row>
      <xdr:rowOff>67235</xdr:rowOff>
    </xdr:from>
    <xdr:to>
      <xdr:col>0</xdr:col>
      <xdr:colOff>2487706</xdr:colOff>
      <xdr:row>45</xdr:row>
      <xdr:rowOff>324971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451CAED0-7143-4510-BE2F-C0F9322CF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02" r="7012" b="24609"/>
        <a:stretch/>
      </xdr:blipFill>
      <xdr:spPr>
        <a:xfrm>
          <a:off x="22412" y="8931088"/>
          <a:ext cx="2465294" cy="1400736"/>
        </a:xfrm>
        <a:prstGeom prst="rect">
          <a:avLst/>
        </a:prstGeom>
      </xdr:spPr>
    </xdr:pic>
    <xdr:clientData/>
  </xdr:twoCellAnchor>
  <xdr:twoCellAnchor editAs="oneCell">
    <xdr:from>
      <xdr:col>2</xdr:col>
      <xdr:colOff>941294</xdr:colOff>
      <xdr:row>0</xdr:row>
      <xdr:rowOff>11205</xdr:rowOff>
    </xdr:from>
    <xdr:to>
      <xdr:col>4</xdr:col>
      <xdr:colOff>433472</xdr:colOff>
      <xdr:row>7</xdr:row>
      <xdr:rowOff>31048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992CC23-6165-4D52-803B-AE2BAB09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794" y="11205"/>
          <a:ext cx="1514686" cy="1667108"/>
        </a:xfrm>
        <a:prstGeom prst="rect">
          <a:avLst/>
        </a:prstGeom>
      </xdr:spPr>
    </xdr:pic>
    <xdr:clientData/>
  </xdr:twoCellAnchor>
  <xdr:twoCellAnchor editAs="oneCell">
    <xdr:from>
      <xdr:col>0</xdr:col>
      <xdr:colOff>403411</xdr:colOff>
      <xdr:row>34</xdr:row>
      <xdr:rowOff>22413</xdr:rowOff>
    </xdr:from>
    <xdr:to>
      <xdr:col>0</xdr:col>
      <xdr:colOff>2129116</xdr:colOff>
      <xdr:row>37</xdr:row>
      <xdr:rowOff>246529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5F09D99-65A2-4E35-BBAE-78193D7D1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10" b="20768"/>
        <a:stretch/>
      </xdr:blipFill>
      <xdr:spPr>
        <a:xfrm>
          <a:off x="403411" y="10880913"/>
          <a:ext cx="1725705" cy="997322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448236</xdr:colOff>
      <xdr:row>30</xdr:row>
      <xdr:rowOff>30159</xdr:rowOff>
    </xdr:from>
    <xdr:to>
      <xdr:col>0</xdr:col>
      <xdr:colOff>2005854</xdr:colOff>
      <xdr:row>32</xdr:row>
      <xdr:rowOff>205619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1B89828-8E6F-4EE3-BFE0-E844BCA6B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903" b="21716"/>
        <a:stretch/>
      </xdr:blipFill>
      <xdr:spPr>
        <a:xfrm>
          <a:off x="448236" y="9857718"/>
          <a:ext cx="1557618" cy="690930"/>
        </a:xfrm>
        <a:prstGeom prst="rect">
          <a:avLst/>
        </a:prstGeom>
      </xdr:spPr>
    </xdr:pic>
    <xdr:clientData/>
  </xdr:twoCellAnchor>
  <xdr:twoCellAnchor editAs="oneCell">
    <xdr:from>
      <xdr:col>0</xdr:col>
      <xdr:colOff>137409</xdr:colOff>
      <xdr:row>47</xdr:row>
      <xdr:rowOff>67235</xdr:rowOff>
    </xdr:from>
    <xdr:to>
      <xdr:col>0</xdr:col>
      <xdr:colOff>2496671</xdr:colOff>
      <xdr:row>51</xdr:row>
      <xdr:rowOff>324970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70950AF-481C-4FB2-80ED-77859A1D9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12" b="9467"/>
        <a:stretch/>
      </xdr:blipFill>
      <xdr:spPr>
        <a:xfrm>
          <a:off x="137409" y="14948647"/>
          <a:ext cx="2359262" cy="178173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1</xdr:row>
      <xdr:rowOff>17147</xdr:rowOff>
    </xdr:from>
    <xdr:ext cx="2828924" cy="675446"/>
    <xdr:pic>
      <xdr:nvPicPr>
        <xdr:cNvPr id="3" name="Рисунок 2" descr="ЛЕС У НАС.png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7626" y="217172"/>
          <a:ext cx="2828924" cy="67544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0</xdr:rowOff>
    </xdr:from>
    <xdr:ext cx="2880360" cy="692034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" y="228600"/>
          <a:ext cx="2880360" cy="69203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53340</xdr:rowOff>
    </xdr:from>
    <xdr:ext cx="1165860" cy="240487"/>
    <xdr:pic>
      <xdr:nvPicPr>
        <xdr:cNvPr id="12" name="Рисунок 11" descr="C:\Users\Алексей\Desktop\62102b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26624280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94</xdr:row>
      <xdr:rowOff>60960</xdr:rowOff>
    </xdr:from>
    <xdr:ext cx="1165860" cy="240487"/>
    <xdr:pic>
      <xdr:nvPicPr>
        <xdr:cNvPr id="8" name="Рисунок 7" descr="C:\Users\Алексей\Desktop\62102b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26388060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</xdr:row>
      <xdr:rowOff>60960</xdr:rowOff>
    </xdr:from>
    <xdr:ext cx="1165860" cy="240487"/>
    <xdr:pic>
      <xdr:nvPicPr>
        <xdr:cNvPr id="33" name="Рисунок 32" descr="C:\Users\Алексей\Desktop\62102b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7978140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1165860" cy="240487"/>
    <xdr:pic>
      <xdr:nvPicPr>
        <xdr:cNvPr id="14" name="Рисунок 13" descr="C:\Users\Алексей\Desktop\62102b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25468217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93616</xdr:rowOff>
    </xdr:from>
    <xdr:ext cx="1165860" cy="240487"/>
    <xdr:pic>
      <xdr:nvPicPr>
        <xdr:cNvPr id="3" name="Рисунок 2" descr="C:\Users\Алексей\Desktop\62102b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29898702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62</xdr:row>
      <xdr:rowOff>82732</xdr:rowOff>
    </xdr:from>
    <xdr:ext cx="1165860" cy="240487"/>
    <xdr:pic>
      <xdr:nvPicPr>
        <xdr:cNvPr id="4" name="Рисунок 3" descr="C:\Users\Алексей\Desktop\62102b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18185675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30</xdr:row>
      <xdr:rowOff>58783</xdr:rowOff>
    </xdr:from>
    <xdr:ext cx="1165860" cy="240487"/>
    <xdr:pic>
      <xdr:nvPicPr>
        <xdr:cNvPr id="10" name="Рисунок 9" descr="C:\Users\Алексей\Desktop\62102b.jpg">
          <a:extLst>
            <a:ext uri="{FF2B5EF4-FFF2-40B4-BE49-F238E27FC236}">
              <a16:creationId xmlns:a16="http://schemas.microsoft.com/office/drawing/2014/main" id="{F4F697B0-39D0-4FFD-8D08-E3ABCA88E8AA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8467997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27</xdr:row>
      <xdr:rowOff>58783</xdr:rowOff>
    </xdr:from>
    <xdr:ext cx="1165860" cy="240487"/>
    <xdr:pic>
      <xdr:nvPicPr>
        <xdr:cNvPr id="13" name="Рисунок 12" descr="C:\Users\Алексей\Desktop\62102b.jpg">
          <a:extLst>
            <a:ext uri="{FF2B5EF4-FFF2-40B4-BE49-F238E27FC236}">
              <a16:creationId xmlns:a16="http://schemas.microsoft.com/office/drawing/2014/main" id="{F6F53EFE-3676-4914-9EFB-53B4DF77B2C6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7515497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29</xdr:row>
      <xdr:rowOff>58783</xdr:rowOff>
    </xdr:from>
    <xdr:ext cx="1165860" cy="240487"/>
    <xdr:pic>
      <xdr:nvPicPr>
        <xdr:cNvPr id="15" name="Рисунок 14" descr="C:\Users\Алексей\Desktop\62102b.jpg">
          <a:extLst>
            <a:ext uri="{FF2B5EF4-FFF2-40B4-BE49-F238E27FC236}">
              <a16:creationId xmlns:a16="http://schemas.microsoft.com/office/drawing/2014/main" id="{5C676C15-8FDF-4276-9A03-5D0F81B6C2BC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32051" b="33151"/>
        <a:stretch>
          <a:fillRect/>
        </a:stretch>
      </xdr:blipFill>
      <xdr:spPr bwMode="auto">
        <a:xfrm>
          <a:off x="0" y="8141426"/>
          <a:ext cx="1165860" cy="240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65</xdr:row>
      <xdr:rowOff>379399</xdr:rowOff>
    </xdr:from>
    <xdr:to>
      <xdr:col>1</xdr:col>
      <xdr:colOff>580396</xdr:colOff>
      <xdr:row>67</xdr:row>
      <xdr:rowOff>56349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9C4E634-81F3-45A4-A7B8-9EEFE6B4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03575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323369</xdr:rowOff>
    </xdr:from>
    <xdr:to>
      <xdr:col>1</xdr:col>
      <xdr:colOff>580396</xdr:colOff>
      <xdr:row>73</xdr:row>
      <xdr:rowOff>45143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6ED70F9-A34B-4944-BE25-9F286798B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684457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312163</xdr:rowOff>
    </xdr:from>
    <xdr:to>
      <xdr:col>1</xdr:col>
      <xdr:colOff>580396</xdr:colOff>
      <xdr:row>75</xdr:row>
      <xdr:rowOff>33936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A7698C0-8022-45E8-AF5F-2D804A22A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90428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323369</xdr:rowOff>
    </xdr:from>
    <xdr:to>
      <xdr:col>1</xdr:col>
      <xdr:colOff>580396</xdr:colOff>
      <xdr:row>78</xdr:row>
      <xdr:rowOff>319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A9714A96-1291-422F-99CB-0B0BB1939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18810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256133</xdr:rowOff>
    </xdr:from>
    <xdr:to>
      <xdr:col>1</xdr:col>
      <xdr:colOff>580396</xdr:colOff>
      <xdr:row>80</xdr:row>
      <xdr:rowOff>319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3CF515F-7B4F-4B8F-822F-21DD7843E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13574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267339</xdr:rowOff>
    </xdr:from>
    <xdr:to>
      <xdr:col>1</xdr:col>
      <xdr:colOff>580396</xdr:colOff>
      <xdr:row>82</xdr:row>
      <xdr:rowOff>11524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E9AE479D-FC15-4073-BCC3-1CF69B424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19545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300956</xdr:rowOff>
    </xdr:from>
    <xdr:to>
      <xdr:col>1</xdr:col>
      <xdr:colOff>580396</xdr:colOff>
      <xdr:row>84</xdr:row>
      <xdr:rowOff>45141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7F0F4F6-BC0F-41C8-A461-2B88AB8F8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247927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379400</xdr:rowOff>
    </xdr:from>
    <xdr:to>
      <xdr:col>1</xdr:col>
      <xdr:colOff>580396</xdr:colOff>
      <xdr:row>64</xdr:row>
      <xdr:rowOff>403733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206FE833-14F1-4024-AF5E-4FB1F62E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22576"/>
          <a:ext cx="1398425" cy="438950"/>
        </a:xfrm>
        <a:prstGeom prst="rect">
          <a:avLst/>
        </a:prstGeom>
      </xdr:spPr>
    </xdr:pic>
    <xdr:clientData/>
  </xdr:twoCellAnchor>
  <xdr:twoCellAnchor editAs="oneCell">
    <xdr:from>
      <xdr:col>3</xdr:col>
      <xdr:colOff>806822</xdr:colOff>
      <xdr:row>0</xdr:row>
      <xdr:rowOff>201705</xdr:rowOff>
    </xdr:from>
    <xdr:to>
      <xdr:col>4</xdr:col>
      <xdr:colOff>257736</xdr:colOff>
      <xdr:row>7</xdr:row>
      <xdr:rowOff>43345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9E8816A-DD63-447C-A62D-A9A74B458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6940" y="201705"/>
          <a:ext cx="1210237" cy="1332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355503</xdr:colOff>
      <xdr:row>32</xdr:row>
      <xdr:rowOff>0</xdr:rowOff>
    </xdr:from>
    <xdr:ext cx="641643" cy="191384"/>
    <xdr:pic>
      <xdr:nvPicPr>
        <xdr:cNvPr id="22" name="Рисунок 21" descr="фуга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095591" y="12975528"/>
          <a:ext cx="641643" cy="191384"/>
        </a:xfrm>
        <a:prstGeom prst="rect">
          <a:avLst/>
        </a:prstGeom>
      </xdr:spPr>
    </xdr:pic>
    <xdr:clientData/>
  </xdr:oneCellAnchor>
  <xdr:oneCellAnchor>
    <xdr:from>
      <xdr:col>1</xdr:col>
      <xdr:colOff>172825</xdr:colOff>
      <xdr:row>4</xdr:row>
      <xdr:rowOff>34098</xdr:rowOff>
    </xdr:from>
    <xdr:ext cx="5781662" cy="1250056"/>
    <xdr:pic>
      <xdr:nvPicPr>
        <xdr:cNvPr id="35" name="Рисунок 34" descr="ЛЕС У НАС.pn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914539" y="1090012"/>
          <a:ext cx="5781662" cy="1250056"/>
        </a:xfrm>
        <a:prstGeom prst="rect">
          <a:avLst/>
        </a:prstGeom>
      </xdr:spPr>
    </xdr:pic>
    <xdr:clientData/>
  </xdr:oneCellAnchor>
  <xdr:oneCellAnchor>
    <xdr:from>
      <xdr:col>3</xdr:col>
      <xdr:colOff>330769</xdr:colOff>
      <xdr:row>11</xdr:row>
      <xdr:rowOff>0</xdr:rowOff>
    </xdr:from>
    <xdr:ext cx="702878" cy="170792"/>
    <xdr:pic>
      <xdr:nvPicPr>
        <xdr:cNvPr id="26" name="Рисунок 25" descr="Блокхаус круглый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5066055" y="4469906"/>
          <a:ext cx="702878" cy="170792"/>
        </a:xfrm>
        <a:prstGeom prst="rect">
          <a:avLst/>
        </a:prstGeom>
      </xdr:spPr>
    </xdr:pic>
    <xdr:clientData/>
  </xdr:oneCellAnchor>
  <xdr:oneCellAnchor>
    <xdr:from>
      <xdr:col>3</xdr:col>
      <xdr:colOff>418163</xdr:colOff>
      <xdr:row>16</xdr:row>
      <xdr:rowOff>0</xdr:rowOff>
    </xdr:from>
    <xdr:ext cx="570860" cy="153970"/>
    <xdr:pic>
      <xdr:nvPicPr>
        <xdr:cNvPr id="51" name="Рисунок 50" descr="фуга.jpg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162078" y="11132634"/>
          <a:ext cx="570860" cy="153970"/>
        </a:xfrm>
        <a:prstGeom prst="rect">
          <a:avLst/>
        </a:prstGeom>
      </xdr:spPr>
    </xdr:pic>
    <xdr:clientData/>
  </xdr:oneCellAnchor>
  <xdr:oneCellAnchor>
    <xdr:from>
      <xdr:col>3</xdr:col>
      <xdr:colOff>575552</xdr:colOff>
      <xdr:row>16</xdr:row>
      <xdr:rowOff>124811</xdr:rowOff>
    </xdr:from>
    <xdr:ext cx="372895" cy="119260"/>
    <xdr:pic>
      <xdr:nvPicPr>
        <xdr:cNvPr id="50" name="Рисунок 49" descr="фуга.jpg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560339" y="14290715"/>
          <a:ext cx="372895" cy="119260"/>
        </a:xfrm>
        <a:prstGeom prst="rect">
          <a:avLst/>
        </a:prstGeom>
      </xdr:spPr>
    </xdr:pic>
    <xdr:clientData/>
  </xdr:oneCellAnchor>
  <xdr:oneCellAnchor>
    <xdr:from>
      <xdr:col>3</xdr:col>
      <xdr:colOff>226218</xdr:colOff>
      <xdr:row>26</xdr:row>
      <xdr:rowOff>76371</xdr:rowOff>
    </xdr:from>
    <xdr:ext cx="1113235" cy="261086"/>
    <xdr:pic>
      <xdr:nvPicPr>
        <xdr:cNvPr id="59" name="Рисунок 58" descr="фуга.jpg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346961" y="14543485"/>
          <a:ext cx="1113235" cy="261086"/>
        </a:xfrm>
        <a:prstGeom prst="rect">
          <a:avLst/>
        </a:prstGeom>
      </xdr:spPr>
    </xdr:pic>
    <xdr:clientData/>
  </xdr:oneCellAnchor>
  <xdr:oneCellAnchor>
    <xdr:from>
      <xdr:col>3</xdr:col>
      <xdr:colOff>275577</xdr:colOff>
      <xdr:row>29</xdr:row>
      <xdr:rowOff>93098</xdr:rowOff>
    </xdr:from>
    <xdr:ext cx="1017103" cy="260687"/>
    <xdr:pic>
      <xdr:nvPicPr>
        <xdr:cNvPr id="64" name="Picture 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49363" y="18639634"/>
          <a:ext cx="1017103" cy="2606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275577</xdr:colOff>
      <xdr:row>30</xdr:row>
      <xdr:rowOff>93098</xdr:rowOff>
    </xdr:from>
    <xdr:ext cx="1017103" cy="260687"/>
    <xdr:pic>
      <xdr:nvPicPr>
        <xdr:cNvPr id="90" name="Picture 6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94291" y="14930327"/>
          <a:ext cx="1017103" cy="2606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489660</xdr:colOff>
      <xdr:row>23</xdr:row>
      <xdr:rowOff>113738</xdr:rowOff>
    </xdr:from>
    <xdr:ext cx="641643" cy="191384"/>
    <xdr:pic>
      <xdr:nvPicPr>
        <xdr:cNvPr id="81" name="Рисунок 80" descr="фуга.jpg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610403" y="13818852"/>
          <a:ext cx="641643" cy="191384"/>
        </a:xfrm>
        <a:prstGeom prst="rect">
          <a:avLst/>
        </a:prstGeom>
      </xdr:spPr>
    </xdr:pic>
    <xdr:clientData/>
  </xdr:oneCellAnchor>
  <xdr:oneCellAnchor>
    <xdr:from>
      <xdr:col>3</xdr:col>
      <xdr:colOff>243053</xdr:colOff>
      <xdr:row>24</xdr:row>
      <xdr:rowOff>98987</xdr:rowOff>
    </xdr:from>
    <xdr:ext cx="1085682" cy="191385"/>
    <xdr:pic>
      <xdr:nvPicPr>
        <xdr:cNvPr id="99" name="Рисунок 98" descr="фуга.jpg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363796" y="14185101"/>
          <a:ext cx="1085682" cy="191385"/>
        </a:xfrm>
        <a:prstGeom prst="rect">
          <a:avLst/>
        </a:prstGeom>
      </xdr:spPr>
    </xdr:pic>
    <xdr:clientData/>
  </xdr:oneCellAnchor>
  <xdr:oneCellAnchor>
    <xdr:from>
      <xdr:col>3</xdr:col>
      <xdr:colOff>575552</xdr:colOff>
      <xdr:row>17</xdr:row>
      <xdr:rowOff>124811</xdr:rowOff>
    </xdr:from>
    <xdr:ext cx="372895" cy="119260"/>
    <xdr:pic>
      <xdr:nvPicPr>
        <xdr:cNvPr id="42" name="Рисунок 41" descr="фуга.jpg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696295" y="12349468"/>
          <a:ext cx="372895" cy="119260"/>
        </a:xfrm>
        <a:prstGeom prst="rect">
          <a:avLst/>
        </a:prstGeom>
      </xdr:spPr>
    </xdr:pic>
    <xdr:clientData/>
  </xdr:oneCellAnchor>
  <xdr:oneCellAnchor>
    <xdr:from>
      <xdr:col>3</xdr:col>
      <xdr:colOff>418163</xdr:colOff>
      <xdr:row>22</xdr:row>
      <xdr:rowOff>0</xdr:rowOff>
    </xdr:from>
    <xdr:ext cx="592196" cy="3764"/>
    <xdr:pic>
      <xdr:nvPicPr>
        <xdr:cNvPr id="47" name="Рисунок 46" descr="фуга.jp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538906" y="15893143"/>
          <a:ext cx="592196" cy="3764"/>
        </a:xfrm>
        <a:prstGeom prst="rect">
          <a:avLst/>
        </a:prstGeom>
      </xdr:spPr>
    </xdr:pic>
    <xdr:clientData/>
  </xdr:oneCellAnchor>
  <xdr:oneCellAnchor>
    <xdr:from>
      <xdr:col>3</xdr:col>
      <xdr:colOff>577584</xdr:colOff>
      <xdr:row>22</xdr:row>
      <xdr:rowOff>72706</xdr:rowOff>
    </xdr:from>
    <xdr:ext cx="383709" cy="191384"/>
    <xdr:pic>
      <xdr:nvPicPr>
        <xdr:cNvPr id="49" name="Рисунок 48" descr="фуга.jpg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147153" y="16168491"/>
          <a:ext cx="383709" cy="191384"/>
        </a:xfrm>
        <a:prstGeom prst="rect">
          <a:avLst/>
        </a:prstGeom>
      </xdr:spPr>
    </xdr:pic>
    <xdr:clientData/>
  </xdr:oneCellAnchor>
  <xdr:oneCellAnchor>
    <xdr:from>
      <xdr:col>3</xdr:col>
      <xdr:colOff>330769</xdr:colOff>
      <xdr:row>11</xdr:row>
      <xdr:rowOff>0</xdr:rowOff>
    </xdr:from>
    <xdr:ext cx="720023" cy="2563"/>
    <xdr:pic>
      <xdr:nvPicPr>
        <xdr:cNvPr id="52" name="Рисунок 51" descr="Блокхаус круглый.jp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8451512" y="4586927"/>
          <a:ext cx="720023" cy="2563"/>
        </a:xfrm>
        <a:prstGeom prst="rect">
          <a:avLst/>
        </a:prstGeom>
      </xdr:spPr>
    </xdr:pic>
    <xdr:clientData/>
  </xdr:oneCellAnchor>
  <xdr:oneCellAnchor>
    <xdr:from>
      <xdr:col>3</xdr:col>
      <xdr:colOff>577584</xdr:colOff>
      <xdr:row>25</xdr:row>
      <xdr:rowOff>66843</xdr:rowOff>
    </xdr:from>
    <xdr:ext cx="383709" cy="243819"/>
    <xdr:pic>
      <xdr:nvPicPr>
        <xdr:cNvPr id="69" name="Рисунок 68" descr="фуга.jpg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147153" y="17305628"/>
          <a:ext cx="383709" cy="243819"/>
        </a:xfrm>
        <a:prstGeom prst="rect">
          <a:avLst/>
        </a:prstGeom>
      </xdr:spPr>
    </xdr:pic>
    <xdr:clientData/>
  </xdr:oneCellAnchor>
  <xdr:oneCellAnchor>
    <xdr:from>
      <xdr:col>3</xdr:col>
      <xdr:colOff>330769</xdr:colOff>
      <xdr:row>11</xdr:row>
      <xdr:rowOff>0</xdr:rowOff>
    </xdr:from>
    <xdr:ext cx="720023" cy="2563"/>
    <xdr:pic>
      <xdr:nvPicPr>
        <xdr:cNvPr id="73" name="Рисунок 72" descr="Блокхаус круглый.jpg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8908712" y="4859070"/>
          <a:ext cx="720023" cy="2563"/>
        </a:xfrm>
        <a:prstGeom prst="rect">
          <a:avLst/>
        </a:prstGeom>
      </xdr:spPr>
    </xdr:pic>
    <xdr:clientData/>
  </xdr:oneCellAnchor>
  <xdr:oneCellAnchor>
    <xdr:from>
      <xdr:col>3</xdr:col>
      <xdr:colOff>448236</xdr:colOff>
      <xdr:row>28</xdr:row>
      <xdr:rowOff>159328</xdr:rowOff>
    </xdr:from>
    <xdr:ext cx="672354" cy="282217"/>
    <xdr:pic>
      <xdr:nvPicPr>
        <xdr:cNvPr id="91" name="Рисунок 90" descr="фуга.jpg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436372" y="13355783"/>
          <a:ext cx="672354" cy="282217"/>
        </a:xfrm>
        <a:prstGeom prst="rect">
          <a:avLst/>
        </a:prstGeom>
      </xdr:spPr>
    </xdr:pic>
    <xdr:clientData/>
  </xdr:oneCellAnchor>
  <xdr:oneCellAnchor>
    <xdr:from>
      <xdr:col>3</xdr:col>
      <xdr:colOff>575552</xdr:colOff>
      <xdr:row>15</xdr:row>
      <xdr:rowOff>124811</xdr:rowOff>
    </xdr:from>
    <xdr:ext cx="372895" cy="119260"/>
    <xdr:pic>
      <xdr:nvPicPr>
        <xdr:cNvPr id="102" name="Рисунок 101" descr="фуга.jpg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816534" y="6054556"/>
          <a:ext cx="372895" cy="119260"/>
        </a:xfrm>
        <a:prstGeom prst="rect">
          <a:avLst/>
        </a:prstGeom>
      </xdr:spPr>
    </xdr:pic>
    <xdr:clientData/>
  </xdr:oneCellAnchor>
  <xdr:oneCellAnchor>
    <xdr:from>
      <xdr:col>3</xdr:col>
      <xdr:colOff>489660</xdr:colOff>
      <xdr:row>20</xdr:row>
      <xdr:rowOff>155302</xdr:rowOff>
    </xdr:from>
    <xdr:ext cx="641643" cy="191384"/>
    <xdr:pic>
      <xdr:nvPicPr>
        <xdr:cNvPr id="103" name="Рисунок 102" descr="фуга.jpg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730642" y="8232502"/>
          <a:ext cx="641643" cy="191384"/>
        </a:xfrm>
        <a:prstGeom prst="rect">
          <a:avLst/>
        </a:prstGeom>
      </xdr:spPr>
    </xdr:pic>
    <xdr:clientData/>
  </xdr:oneCellAnchor>
  <xdr:oneCellAnchor>
    <xdr:from>
      <xdr:col>3</xdr:col>
      <xdr:colOff>489660</xdr:colOff>
      <xdr:row>21</xdr:row>
      <xdr:rowOff>127593</xdr:rowOff>
    </xdr:from>
    <xdr:ext cx="641643" cy="191384"/>
    <xdr:pic>
      <xdr:nvPicPr>
        <xdr:cNvPr id="104" name="Рисунок 103" descr="фуга.jpg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730642" y="8634284"/>
          <a:ext cx="641643" cy="191384"/>
        </a:xfrm>
        <a:prstGeom prst="rect">
          <a:avLst/>
        </a:prstGeom>
      </xdr:spPr>
    </xdr:pic>
    <xdr:clientData/>
  </xdr:oneCellAnchor>
  <xdr:oneCellAnchor>
    <xdr:from>
      <xdr:col>3</xdr:col>
      <xdr:colOff>588047</xdr:colOff>
      <xdr:row>37</xdr:row>
      <xdr:rowOff>129249</xdr:rowOff>
    </xdr:from>
    <xdr:ext cx="353785" cy="105729"/>
    <xdr:pic>
      <xdr:nvPicPr>
        <xdr:cNvPr id="53" name="Рисунок 52" descr="фуга.jp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9829029" y="20827940"/>
          <a:ext cx="353785" cy="105729"/>
        </a:xfrm>
        <a:prstGeom prst="rect">
          <a:avLst/>
        </a:prstGeom>
      </xdr:spPr>
    </xdr:pic>
    <xdr:clientData/>
  </xdr:oneCellAnchor>
  <xdr:oneCellAnchor>
    <xdr:from>
      <xdr:col>3</xdr:col>
      <xdr:colOff>588047</xdr:colOff>
      <xdr:row>38</xdr:row>
      <xdr:rowOff>129249</xdr:rowOff>
    </xdr:from>
    <xdr:ext cx="353785" cy="105729"/>
    <xdr:pic>
      <xdr:nvPicPr>
        <xdr:cNvPr id="54" name="Рисунок 53" descr="фуга.jpg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9829029" y="20827940"/>
          <a:ext cx="353785" cy="105729"/>
        </a:xfrm>
        <a:prstGeom prst="rect">
          <a:avLst/>
        </a:prstGeom>
      </xdr:spPr>
    </xdr:pic>
    <xdr:clientData/>
  </xdr:oneCellAnchor>
  <xdr:oneCellAnchor>
    <xdr:from>
      <xdr:col>3</xdr:col>
      <xdr:colOff>375527</xdr:colOff>
      <xdr:row>19</xdr:row>
      <xdr:rowOff>158149</xdr:rowOff>
    </xdr:from>
    <xdr:ext cx="781760" cy="119260"/>
    <xdr:pic>
      <xdr:nvPicPr>
        <xdr:cNvPr id="55" name="Рисунок 54" descr="фуга.jp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29065" y="7082824"/>
          <a:ext cx="781760" cy="119260"/>
        </a:xfrm>
        <a:prstGeom prst="rect">
          <a:avLst/>
        </a:prstGeom>
      </xdr:spPr>
    </xdr:pic>
    <xdr:clientData/>
  </xdr:oneCellAnchor>
  <xdr:oneCellAnchor>
    <xdr:from>
      <xdr:col>3</xdr:col>
      <xdr:colOff>375527</xdr:colOff>
      <xdr:row>40</xdr:row>
      <xdr:rowOff>158149</xdr:rowOff>
    </xdr:from>
    <xdr:ext cx="781760" cy="119260"/>
    <xdr:pic>
      <xdr:nvPicPr>
        <xdr:cNvPr id="57" name="Рисунок 56" descr="фуга.jpg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16509" y="7085422"/>
          <a:ext cx="781760" cy="119260"/>
        </a:xfrm>
        <a:prstGeom prst="rect">
          <a:avLst/>
        </a:prstGeom>
      </xdr:spPr>
    </xdr:pic>
    <xdr:clientData/>
  </xdr:oneCellAnchor>
  <xdr:oneCellAnchor>
    <xdr:from>
      <xdr:col>3</xdr:col>
      <xdr:colOff>375527</xdr:colOff>
      <xdr:row>41</xdr:row>
      <xdr:rowOff>158149</xdr:rowOff>
    </xdr:from>
    <xdr:ext cx="781760" cy="119260"/>
    <xdr:pic>
      <xdr:nvPicPr>
        <xdr:cNvPr id="58" name="Рисунок 57" descr="фуга.jpg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16509" y="23863276"/>
          <a:ext cx="781760" cy="119260"/>
        </a:xfrm>
        <a:prstGeom prst="rect">
          <a:avLst/>
        </a:prstGeom>
      </xdr:spPr>
    </xdr:pic>
    <xdr:clientData/>
  </xdr:oneCellAnchor>
  <xdr:oneCellAnchor>
    <xdr:from>
      <xdr:col>3</xdr:col>
      <xdr:colOff>375527</xdr:colOff>
      <xdr:row>42</xdr:row>
      <xdr:rowOff>158149</xdr:rowOff>
    </xdr:from>
    <xdr:ext cx="781760" cy="119260"/>
    <xdr:pic>
      <xdr:nvPicPr>
        <xdr:cNvPr id="60" name="Рисунок 59" descr="фуга.jpg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16509" y="23863276"/>
          <a:ext cx="781760" cy="119260"/>
        </a:xfrm>
        <a:prstGeom prst="rect">
          <a:avLst/>
        </a:prstGeom>
      </xdr:spPr>
    </xdr:pic>
    <xdr:clientData/>
  </xdr:oneCellAnchor>
  <xdr:oneCellAnchor>
    <xdr:from>
      <xdr:col>3</xdr:col>
      <xdr:colOff>588047</xdr:colOff>
      <xdr:row>34</xdr:row>
      <xdr:rowOff>156958</xdr:rowOff>
    </xdr:from>
    <xdr:ext cx="353785" cy="105729"/>
    <xdr:pic>
      <xdr:nvPicPr>
        <xdr:cNvPr id="61" name="Рисунок 60" descr="фуга.jpg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9829029" y="22102558"/>
          <a:ext cx="353785" cy="105729"/>
        </a:xfrm>
        <a:prstGeom prst="rect">
          <a:avLst/>
        </a:prstGeom>
      </xdr:spPr>
    </xdr:pic>
    <xdr:clientData/>
  </xdr:oneCellAnchor>
  <xdr:oneCellAnchor>
    <xdr:from>
      <xdr:col>3</xdr:col>
      <xdr:colOff>446117</xdr:colOff>
      <xdr:row>43</xdr:row>
      <xdr:rowOff>106328</xdr:rowOff>
    </xdr:from>
    <xdr:ext cx="641643" cy="191384"/>
    <xdr:pic>
      <xdr:nvPicPr>
        <xdr:cNvPr id="63" name="Рисунок 62" descr="фуга.jpg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87099" y="16302292"/>
          <a:ext cx="641643" cy="191384"/>
        </a:xfrm>
        <a:prstGeom prst="rect">
          <a:avLst/>
        </a:prstGeom>
      </xdr:spPr>
    </xdr:pic>
    <xdr:clientData/>
  </xdr:oneCellAnchor>
  <xdr:oneCellAnchor>
    <xdr:from>
      <xdr:col>3</xdr:col>
      <xdr:colOff>243053</xdr:colOff>
      <xdr:row>44</xdr:row>
      <xdr:rowOff>122737</xdr:rowOff>
    </xdr:from>
    <xdr:ext cx="1085682" cy="191385"/>
    <xdr:pic>
      <xdr:nvPicPr>
        <xdr:cNvPr id="66" name="Рисунок 65" descr="фуга.jpg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231189" y="17596782"/>
          <a:ext cx="1085682" cy="191385"/>
        </a:xfrm>
        <a:prstGeom prst="rect">
          <a:avLst/>
        </a:prstGeom>
      </xdr:spPr>
    </xdr:pic>
    <xdr:clientData/>
  </xdr:oneCellAnchor>
  <xdr:oneCellAnchor>
    <xdr:from>
      <xdr:col>3</xdr:col>
      <xdr:colOff>375527</xdr:colOff>
      <xdr:row>39</xdr:row>
      <xdr:rowOff>158149</xdr:rowOff>
    </xdr:from>
    <xdr:ext cx="781760" cy="119260"/>
    <xdr:pic>
      <xdr:nvPicPr>
        <xdr:cNvPr id="62" name="Рисунок 61" descr="фуга.jpg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16509" y="21189349"/>
          <a:ext cx="781760" cy="119260"/>
        </a:xfrm>
        <a:prstGeom prst="rect">
          <a:avLst/>
        </a:prstGeom>
      </xdr:spPr>
    </xdr:pic>
    <xdr:clientData/>
  </xdr:oneCellAnchor>
  <xdr:oneCellAnchor>
    <xdr:from>
      <xdr:col>1</xdr:col>
      <xdr:colOff>45523</xdr:colOff>
      <xdr:row>44</xdr:row>
      <xdr:rowOff>34635</xdr:rowOff>
    </xdr:from>
    <xdr:ext cx="1687286" cy="340424"/>
    <xdr:pic>
      <xdr:nvPicPr>
        <xdr:cNvPr id="77" name="Рисунок 76" descr="C:\Users\Алексей\Desktop\62102b.jpg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77341" y="22520562"/>
          <a:ext cx="1687286" cy="34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588047</xdr:colOff>
      <xdr:row>33</xdr:row>
      <xdr:rowOff>156958</xdr:rowOff>
    </xdr:from>
    <xdr:ext cx="353785" cy="105729"/>
    <xdr:pic>
      <xdr:nvPicPr>
        <xdr:cNvPr id="5" name="Рисунок 4" descr="фуга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9829029" y="18015467"/>
          <a:ext cx="353785" cy="105729"/>
        </a:xfrm>
        <a:prstGeom prst="rect">
          <a:avLst/>
        </a:prstGeom>
      </xdr:spPr>
    </xdr:pic>
    <xdr:clientData/>
  </xdr:oneCellAnchor>
  <xdr:oneCellAnchor>
    <xdr:from>
      <xdr:col>1</xdr:col>
      <xdr:colOff>45523</xdr:colOff>
      <xdr:row>43</xdr:row>
      <xdr:rowOff>62345</xdr:rowOff>
    </xdr:from>
    <xdr:ext cx="1687286" cy="340424"/>
    <xdr:pic>
      <xdr:nvPicPr>
        <xdr:cNvPr id="56" name="Рисунок 55" descr="C:\Users\Алексей\Desktop\62102b.jpg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77341" y="19597254"/>
          <a:ext cx="1687286" cy="34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45523</xdr:colOff>
      <xdr:row>34</xdr:row>
      <xdr:rowOff>131618</xdr:rowOff>
    </xdr:from>
    <xdr:ext cx="1687286" cy="340424"/>
    <xdr:pic>
      <xdr:nvPicPr>
        <xdr:cNvPr id="36" name="Рисунок 35" descr="C:\Users\Алексей\Desktop\62102b.jp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25387" y="16705118"/>
          <a:ext cx="1687286" cy="34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588047</xdr:colOff>
      <xdr:row>36</xdr:row>
      <xdr:rowOff>156958</xdr:rowOff>
    </xdr:from>
    <xdr:ext cx="353785" cy="105729"/>
    <xdr:pic>
      <xdr:nvPicPr>
        <xdr:cNvPr id="37" name="Рисунок 36" descr="фуга.jp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9576183" y="16730458"/>
          <a:ext cx="353785" cy="105729"/>
        </a:xfrm>
        <a:prstGeom prst="rect">
          <a:avLst/>
        </a:prstGeom>
      </xdr:spPr>
    </xdr:pic>
    <xdr:clientData/>
  </xdr:oneCellAnchor>
  <xdr:oneCellAnchor>
    <xdr:from>
      <xdr:col>3</xdr:col>
      <xdr:colOff>588047</xdr:colOff>
      <xdr:row>35</xdr:row>
      <xdr:rowOff>156958</xdr:rowOff>
    </xdr:from>
    <xdr:ext cx="353785" cy="105729"/>
    <xdr:pic>
      <xdr:nvPicPr>
        <xdr:cNvPr id="38" name="Рисунок 37" descr="фуга.jp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9576183" y="17873458"/>
          <a:ext cx="353785" cy="105729"/>
        </a:xfrm>
        <a:prstGeom prst="rect">
          <a:avLst/>
        </a:prstGeom>
      </xdr:spPr>
    </xdr:pic>
    <xdr:clientData/>
  </xdr:oneCellAnchor>
  <xdr:oneCellAnchor>
    <xdr:from>
      <xdr:col>3</xdr:col>
      <xdr:colOff>575552</xdr:colOff>
      <xdr:row>18</xdr:row>
      <xdr:rowOff>124811</xdr:rowOff>
    </xdr:from>
    <xdr:ext cx="372895" cy="119260"/>
    <xdr:pic>
      <xdr:nvPicPr>
        <xdr:cNvPr id="40" name="Рисунок 39" descr="фуга.jp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563688" y="7034766"/>
          <a:ext cx="372895" cy="119260"/>
        </a:xfrm>
        <a:prstGeom prst="rect">
          <a:avLst/>
        </a:prstGeom>
      </xdr:spPr>
    </xdr:pic>
    <xdr:clientData/>
  </xdr:oneCellAnchor>
  <xdr:oneCellAnchor>
    <xdr:from>
      <xdr:col>3</xdr:col>
      <xdr:colOff>448236</xdr:colOff>
      <xdr:row>27</xdr:row>
      <xdr:rowOff>159328</xdr:rowOff>
    </xdr:from>
    <xdr:ext cx="672354" cy="282217"/>
    <xdr:pic>
      <xdr:nvPicPr>
        <xdr:cNvPr id="39" name="Рисунок 38" descr="фуга.jpg">
          <a:extLst>
            <a:ext uri="{FF2B5EF4-FFF2-40B4-BE49-F238E27FC236}">
              <a16:creationId xmlns:a16="http://schemas.microsoft.com/office/drawing/2014/main" id="{598A54E4-A966-4877-A174-D315EFF12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436372" y="12784283"/>
          <a:ext cx="672354" cy="282217"/>
        </a:xfrm>
        <a:prstGeom prst="rect">
          <a:avLst/>
        </a:prstGeom>
      </xdr:spPr>
    </xdr:pic>
    <xdr:clientData/>
  </xdr:oneCellAnchor>
  <xdr:twoCellAnchor editAs="oneCell">
    <xdr:from>
      <xdr:col>6</xdr:col>
      <xdr:colOff>415636</xdr:colOff>
      <xdr:row>4</xdr:row>
      <xdr:rowOff>34636</xdr:rowOff>
    </xdr:from>
    <xdr:to>
      <xdr:col>8</xdr:col>
      <xdr:colOff>121226</xdr:colOff>
      <xdr:row>11</xdr:row>
      <xdr:rowOff>262931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91B9296-A4D6-4B88-83A8-C7CC22205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8454" y="1298863"/>
          <a:ext cx="2268681" cy="24969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469887</xdr:colOff>
      <xdr:row>4</xdr:row>
      <xdr:rowOff>69274</xdr:rowOff>
    </xdr:from>
    <xdr:ext cx="5778513" cy="1315320"/>
    <xdr:pic>
      <xdr:nvPicPr>
        <xdr:cNvPr id="5" name="Рисунок 4" descr="ЛЕС У НАС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093342" y="1149929"/>
          <a:ext cx="5778513" cy="1315320"/>
        </a:xfrm>
        <a:prstGeom prst="rect">
          <a:avLst/>
        </a:prstGeom>
      </xdr:spPr>
    </xdr:pic>
    <xdr:clientData/>
  </xdr:oneCellAnchor>
  <xdr:oneCellAnchor>
    <xdr:from>
      <xdr:col>4</xdr:col>
      <xdr:colOff>273764</xdr:colOff>
      <xdr:row>24</xdr:row>
      <xdr:rowOff>69275</xdr:rowOff>
    </xdr:from>
    <xdr:ext cx="1164982" cy="155325"/>
    <xdr:pic>
      <xdr:nvPicPr>
        <xdr:cNvPr id="18" name="Рисунок 17" descr="Вагонка.jpg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641909" y="12178148"/>
          <a:ext cx="1164982" cy="155325"/>
        </a:xfrm>
        <a:prstGeom prst="rect">
          <a:avLst/>
        </a:prstGeom>
      </xdr:spPr>
    </xdr:pic>
    <xdr:clientData/>
  </xdr:oneCellAnchor>
  <xdr:oneCellAnchor>
    <xdr:from>
      <xdr:col>4</xdr:col>
      <xdr:colOff>48490</xdr:colOff>
      <xdr:row>51</xdr:row>
      <xdr:rowOff>73753</xdr:rowOff>
    </xdr:from>
    <xdr:ext cx="1541369" cy="174084"/>
    <xdr:pic>
      <xdr:nvPicPr>
        <xdr:cNvPr id="2" name="Рисунок 1" descr="Штиль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8724899" y="32060435"/>
          <a:ext cx="1541369" cy="174084"/>
        </a:xfrm>
        <a:prstGeom prst="rect">
          <a:avLst/>
        </a:prstGeom>
      </xdr:spPr>
    </xdr:pic>
    <xdr:clientData/>
  </xdr:oneCellAnchor>
  <xdr:oneCellAnchor>
    <xdr:from>
      <xdr:col>1</xdr:col>
      <xdr:colOff>27710</xdr:colOff>
      <xdr:row>33</xdr:row>
      <xdr:rowOff>83128</xdr:rowOff>
    </xdr:from>
    <xdr:ext cx="1357744" cy="401781"/>
    <xdr:pic>
      <xdr:nvPicPr>
        <xdr:cNvPr id="8" name="Рисунок 7" descr="C:\Users\Алексей\Desktop\62102b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7733819"/>
          <a:ext cx="1357744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32</xdr:row>
      <xdr:rowOff>69274</xdr:rowOff>
    </xdr:from>
    <xdr:ext cx="1357744" cy="401781"/>
    <xdr:pic>
      <xdr:nvPicPr>
        <xdr:cNvPr id="10" name="Рисунок 9" descr="C:\Users\Алексей\Desktop\62102b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7165783"/>
          <a:ext cx="1357744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31</xdr:row>
      <xdr:rowOff>110837</xdr:rowOff>
    </xdr:from>
    <xdr:ext cx="1357744" cy="401781"/>
    <xdr:pic>
      <xdr:nvPicPr>
        <xdr:cNvPr id="11" name="Рисунок 10" descr="C:\Users\Алексей\Desktop\62102b.jpg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6653164"/>
          <a:ext cx="1357744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30</xdr:row>
      <xdr:rowOff>83127</xdr:rowOff>
    </xdr:from>
    <xdr:ext cx="1357744" cy="401781"/>
    <xdr:pic>
      <xdr:nvPicPr>
        <xdr:cNvPr id="13" name="Рисунок 12" descr="C:\Users\Алексей\Desktop\62102b.jp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5517091"/>
          <a:ext cx="1357744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29</xdr:row>
      <xdr:rowOff>69273</xdr:rowOff>
    </xdr:from>
    <xdr:ext cx="1357744" cy="401781"/>
    <xdr:pic>
      <xdr:nvPicPr>
        <xdr:cNvPr id="14" name="Рисунок 13" descr="C:\Users\Алексей\Desktop\62102b.jp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4949055"/>
          <a:ext cx="1357744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28</xdr:row>
      <xdr:rowOff>110837</xdr:rowOff>
    </xdr:from>
    <xdr:ext cx="1357744" cy="401781"/>
    <xdr:pic>
      <xdr:nvPicPr>
        <xdr:cNvPr id="16" name="Рисунок 15" descr="C:\Users\Алексей\Desktop\62102b.jpg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3882255"/>
          <a:ext cx="1357744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40</xdr:row>
      <xdr:rowOff>55420</xdr:rowOff>
    </xdr:from>
    <xdr:ext cx="1505098" cy="401781"/>
    <xdr:pic>
      <xdr:nvPicPr>
        <xdr:cNvPr id="17" name="Рисунок 16" descr="C:\Users\Алексей\Desktop\62102b.jp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24356293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39</xdr:row>
      <xdr:rowOff>0</xdr:rowOff>
    </xdr:from>
    <xdr:ext cx="1505098" cy="401781"/>
    <xdr:pic>
      <xdr:nvPicPr>
        <xdr:cNvPr id="19" name="Рисунок 18" descr="C:\Users\Алексей\Desktop\62102b.jp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23289493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36</xdr:row>
      <xdr:rowOff>96984</xdr:rowOff>
    </xdr:from>
    <xdr:ext cx="1505098" cy="401781"/>
    <xdr:pic>
      <xdr:nvPicPr>
        <xdr:cNvPr id="20" name="Рисунок 19" descr="C:\Users\Алексей\Desktop\62102b.jp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21626948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20</xdr:row>
      <xdr:rowOff>69274</xdr:rowOff>
    </xdr:from>
    <xdr:ext cx="1505098" cy="401781"/>
    <xdr:pic>
      <xdr:nvPicPr>
        <xdr:cNvPr id="21" name="Рисунок 20" descr="C:\Users\Алексей\Desktop\62102b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2178147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19</xdr:row>
      <xdr:rowOff>83129</xdr:rowOff>
    </xdr:from>
    <xdr:ext cx="1505098" cy="401781"/>
    <xdr:pic>
      <xdr:nvPicPr>
        <xdr:cNvPr id="22" name="Рисунок 21" descr="C:\Users\Алексей\Desktop\62102b.jpg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11637820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14</xdr:row>
      <xdr:rowOff>83130</xdr:rowOff>
    </xdr:from>
    <xdr:ext cx="1505098" cy="401781"/>
    <xdr:pic>
      <xdr:nvPicPr>
        <xdr:cNvPr id="26" name="Рисунок 25" descr="C:\Users\Алексей\Desktop\62102b.jpg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7204366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47</xdr:row>
      <xdr:rowOff>96985</xdr:rowOff>
    </xdr:from>
    <xdr:ext cx="1505098" cy="401781"/>
    <xdr:pic>
      <xdr:nvPicPr>
        <xdr:cNvPr id="27" name="Рисунок 26" descr="C:\Users\Алексей\Desktop\62102b.jpg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51165" y="29898112"/>
          <a:ext cx="1505098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27710</xdr:colOff>
      <xdr:row>50</xdr:row>
      <xdr:rowOff>62348</xdr:rowOff>
    </xdr:from>
    <xdr:ext cx="1470463" cy="401781"/>
    <xdr:pic>
      <xdr:nvPicPr>
        <xdr:cNvPr id="30" name="Рисунок 29" descr="C:\Users\Алексей\Desktop\62102b.jpg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t="32051" b="33151"/>
        <a:stretch>
          <a:fillRect/>
        </a:stretch>
      </xdr:blipFill>
      <xdr:spPr bwMode="auto">
        <a:xfrm>
          <a:off x="633846" y="32603212"/>
          <a:ext cx="1470463" cy="4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2060863</xdr:colOff>
      <xdr:row>3</xdr:row>
      <xdr:rowOff>484908</xdr:rowOff>
    </xdr:from>
    <xdr:to>
      <xdr:col>8</xdr:col>
      <xdr:colOff>606135</xdr:colOff>
      <xdr:row>10</xdr:row>
      <xdr:rowOff>160873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1B5E64A-DFD8-4097-998A-DFA7F55E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2363" y="1264226"/>
          <a:ext cx="2459181" cy="27066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67681</xdr:colOff>
      <xdr:row>23</xdr:row>
      <xdr:rowOff>69263</xdr:rowOff>
    </xdr:from>
    <xdr:ext cx="1376143" cy="365785"/>
    <xdr:pic>
      <xdr:nvPicPr>
        <xdr:cNvPr id="3" name="Рисунок 2" descr="Блокхаус плоский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879172" y="8756063"/>
          <a:ext cx="1376143" cy="365785"/>
        </a:xfrm>
        <a:prstGeom prst="rect">
          <a:avLst/>
        </a:prstGeom>
      </xdr:spPr>
    </xdr:pic>
    <xdr:clientData/>
  </xdr:oneCellAnchor>
  <xdr:oneCellAnchor>
    <xdr:from>
      <xdr:col>3</xdr:col>
      <xdr:colOff>355503</xdr:colOff>
      <xdr:row>40</xdr:row>
      <xdr:rowOff>0</xdr:rowOff>
    </xdr:from>
    <xdr:ext cx="659550" cy="1265"/>
    <xdr:pic>
      <xdr:nvPicPr>
        <xdr:cNvPr id="4" name="Рисунок 3" descr="фуга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9606183" y="25984200"/>
          <a:ext cx="659550" cy="1265"/>
        </a:xfrm>
        <a:prstGeom prst="rect">
          <a:avLst/>
        </a:prstGeom>
      </xdr:spPr>
    </xdr:pic>
    <xdr:clientData/>
  </xdr:oneCellAnchor>
  <xdr:oneCellAnchor>
    <xdr:from>
      <xdr:col>1</xdr:col>
      <xdr:colOff>172825</xdr:colOff>
      <xdr:row>4</xdr:row>
      <xdr:rowOff>34098</xdr:rowOff>
    </xdr:from>
    <xdr:ext cx="5777307" cy="1250056"/>
    <xdr:pic>
      <xdr:nvPicPr>
        <xdr:cNvPr id="5" name="Рисунок 4" descr="ЛЕС У НАС.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1910185" y="1260918"/>
          <a:ext cx="5777307" cy="1250056"/>
        </a:xfrm>
        <a:prstGeom prst="rect">
          <a:avLst/>
        </a:prstGeom>
      </xdr:spPr>
    </xdr:pic>
    <xdr:clientData/>
  </xdr:oneCellAnchor>
  <xdr:oneCellAnchor>
    <xdr:from>
      <xdr:col>3</xdr:col>
      <xdr:colOff>330769</xdr:colOff>
      <xdr:row>14</xdr:row>
      <xdr:rowOff>102013</xdr:rowOff>
    </xdr:from>
    <xdr:ext cx="720023" cy="2563"/>
    <xdr:pic>
      <xdr:nvPicPr>
        <xdr:cNvPr id="6" name="Рисунок 5" descr="Блокхаус круглый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581449" y="7432453"/>
          <a:ext cx="720023" cy="2563"/>
        </a:xfrm>
        <a:prstGeom prst="rect">
          <a:avLst/>
        </a:prstGeom>
      </xdr:spPr>
    </xdr:pic>
    <xdr:clientData/>
  </xdr:oneCellAnchor>
  <xdr:oneCellAnchor>
    <xdr:from>
      <xdr:col>3</xdr:col>
      <xdr:colOff>418163</xdr:colOff>
      <xdr:row>40</xdr:row>
      <xdr:rowOff>0</xdr:rowOff>
    </xdr:from>
    <xdr:ext cx="592196" cy="3002"/>
    <xdr:pic>
      <xdr:nvPicPr>
        <xdr:cNvPr id="7" name="Рисунок 6" descr="фуга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9668843" y="17670780"/>
          <a:ext cx="592196" cy="3002"/>
        </a:xfrm>
        <a:prstGeom prst="rect">
          <a:avLst/>
        </a:prstGeom>
      </xdr:spPr>
    </xdr:pic>
    <xdr:clientData/>
  </xdr:oneCellAnchor>
  <xdr:oneCellAnchor>
    <xdr:from>
      <xdr:col>3</xdr:col>
      <xdr:colOff>342899</xdr:colOff>
      <xdr:row>14</xdr:row>
      <xdr:rowOff>96981</xdr:rowOff>
    </xdr:from>
    <xdr:ext cx="862383" cy="193964"/>
    <xdr:pic>
      <xdr:nvPicPr>
        <xdr:cNvPr id="8" name="Рисунок 7" descr="Блокхаус круглый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583881" y="6359236"/>
          <a:ext cx="862383" cy="193964"/>
        </a:xfrm>
        <a:prstGeom prst="rect">
          <a:avLst/>
        </a:prstGeom>
      </xdr:spPr>
    </xdr:pic>
    <xdr:clientData/>
  </xdr:oneCellAnchor>
  <xdr:oneCellAnchor>
    <xdr:from>
      <xdr:col>3</xdr:col>
      <xdr:colOff>229727</xdr:colOff>
      <xdr:row>33</xdr:row>
      <xdr:rowOff>332507</xdr:rowOff>
    </xdr:from>
    <xdr:ext cx="1107406" cy="307525"/>
    <xdr:pic>
      <xdr:nvPicPr>
        <xdr:cNvPr id="24" name="Рисунок 23" descr="Доска пола.jpg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8802227" y="13442371"/>
          <a:ext cx="1107406" cy="307525"/>
        </a:xfrm>
        <a:prstGeom prst="rect">
          <a:avLst/>
        </a:prstGeom>
      </xdr:spPr>
    </xdr:pic>
    <xdr:clientData/>
  </xdr:oneCellAnchor>
  <xdr:oneCellAnchor>
    <xdr:from>
      <xdr:col>3</xdr:col>
      <xdr:colOff>418163</xdr:colOff>
      <xdr:row>40</xdr:row>
      <xdr:rowOff>0</xdr:rowOff>
    </xdr:from>
    <xdr:ext cx="592196" cy="3764"/>
    <xdr:pic>
      <xdr:nvPicPr>
        <xdr:cNvPr id="25" name="Рисунок 24" descr="фуга.jpg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9668843" y="18432780"/>
          <a:ext cx="592196" cy="3764"/>
        </a:xfrm>
        <a:prstGeom prst="rect">
          <a:avLst/>
        </a:prstGeom>
      </xdr:spPr>
    </xdr:pic>
    <xdr:clientData/>
  </xdr:oneCellAnchor>
  <xdr:oneCellAnchor>
    <xdr:from>
      <xdr:col>3</xdr:col>
      <xdr:colOff>78988</xdr:colOff>
      <xdr:row>17</xdr:row>
      <xdr:rowOff>69273</xdr:rowOff>
    </xdr:from>
    <xdr:ext cx="1439192" cy="368258"/>
    <xdr:pic>
      <xdr:nvPicPr>
        <xdr:cNvPr id="29" name="Рисунок 28" descr="Блокхаус круглый.jpg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8890479" y="6331528"/>
          <a:ext cx="1439192" cy="368258"/>
        </a:xfrm>
        <a:prstGeom prst="rect">
          <a:avLst/>
        </a:prstGeom>
      </xdr:spPr>
    </xdr:pic>
    <xdr:clientData/>
  </xdr:oneCellAnchor>
  <xdr:oneCellAnchor>
    <xdr:from>
      <xdr:col>3</xdr:col>
      <xdr:colOff>330769</xdr:colOff>
      <xdr:row>15</xdr:row>
      <xdr:rowOff>102013</xdr:rowOff>
    </xdr:from>
    <xdr:ext cx="720023" cy="2563"/>
    <xdr:pic>
      <xdr:nvPicPr>
        <xdr:cNvPr id="39" name="Рисунок 38" descr="Блокхаус круглый.jpg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581449" y="7798213"/>
          <a:ext cx="720023" cy="2563"/>
        </a:xfrm>
        <a:prstGeom prst="rect">
          <a:avLst/>
        </a:prstGeom>
      </xdr:spPr>
    </xdr:pic>
    <xdr:clientData/>
  </xdr:oneCellAnchor>
  <xdr:oneCellAnchor>
    <xdr:from>
      <xdr:col>3</xdr:col>
      <xdr:colOff>342899</xdr:colOff>
      <xdr:row>15</xdr:row>
      <xdr:rowOff>29688</xdr:rowOff>
    </xdr:from>
    <xdr:ext cx="862383" cy="293914"/>
    <xdr:pic>
      <xdr:nvPicPr>
        <xdr:cNvPr id="40" name="Рисунок 39" descr="Блокхаус круглый.jpg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583881" y="6652161"/>
          <a:ext cx="862383" cy="293914"/>
        </a:xfrm>
        <a:prstGeom prst="rect">
          <a:avLst/>
        </a:prstGeom>
      </xdr:spPr>
    </xdr:pic>
    <xdr:clientData/>
  </xdr:oneCellAnchor>
  <xdr:oneCellAnchor>
    <xdr:from>
      <xdr:col>3</xdr:col>
      <xdr:colOff>37424</xdr:colOff>
      <xdr:row>25</xdr:row>
      <xdr:rowOff>41564</xdr:rowOff>
    </xdr:from>
    <xdr:ext cx="1439192" cy="368258"/>
    <xdr:pic>
      <xdr:nvPicPr>
        <xdr:cNvPr id="61" name="Рисунок 60" descr="Блокхаус круглый.jp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278406" y="8243455"/>
          <a:ext cx="1439192" cy="368258"/>
        </a:xfrm>
        <a:prstGeom prst="rect">
          <a:avLst/>
        </a:prstGeom>
      </xdr:spPr>
    </xdr:pic>
    <xdr:clientData/>
  </xdr:oneCellAnchor>
  <xdr:oneCellAnchor>
    <xdr:from>
      <xdr:col>1</xdr:col>
      <xdr:colOff>87087</xdr:colOff>
      <xdr:row>30</xdr:row>
      <xdr:rowOff>46515</xdr:rowOff>
    </xdr:from>
    <xdr:ext cx="1712398" cy="330528"/>
    <xdr:pic>
      <xdr:nvPicPr>
        <xdr:cNvPr id="17" name="Рисунок 16" descr="C:\Users\Алексей\Desktop\62102b.jpg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818905" y="9342915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87087</xdr:colOff>
      <xdr:row>38</xdr:row>
      <xdr:rowOff>46515</xdr:rowOff>
    </xdr:from>
    <xdr:ext cx="1712398" cy="330528"/>
    <xdr:pic>
      <xdr:nvPicPr>
        <xdr:cNvPr id="18" name="Рисунок 17" descr="C:\Users\Алексей\Desktop\62102b.jpg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818905" y="12030697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330769</xdr:colOff>
      <xdr:row>21</xdr:row>
      <xdr:rowOff>102013</xdr:rowOff>
    </xdr:from>
    <xdr:ext cx="720023" cy="2563"/>
    <xdr:pic>
      <xdr:nvPicPr>
        <xdr:cNvPr id="19" name="Рисунок 18" descr="Блокхаус круглый.jpg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142260" y="6308849"/>
          <a:ext cx="720023" cy="2563"/>
        </a:xfrm>
        <a:prstGeom prst="rect">
          <a:avLst/>
        </a:prstGeom>
      </xdr:spPr>
    </xdr:pic>
    <xdr:clientData/>
  </xdr:oneCellAnchor>
  <xdr:oneCellAnchor>
    <xdr:from>
      <xdr:col>3</xdr:col>
      <xdr:colOff>342899</xdr:colOff>
      <xdr:row>20</xdr:row>
      <xdr:rowOff>279689</xdr:rowOff>
    </xdr:from>
    <xdr:ext cx="862383" cy="209550"/>
    <xdr:pic>
      <xdr:nvPicPr>
        <xdr:cNvPr id="20" name="Рисунок 19" descr="Блокхаус круглый.jpg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9154390" y="7678016"/>
          <a:ext cx="862383" cy="209550"/>
        </a:xfrm>
        <a:prstGeom prst="rect">
          <a:avLst/>
        </a:prstGeom>
      </xdr:spPr>
    </xdr:pic>
    <xdr:clientData/>
  </xdr:oneCellAnchor>
  <xdr:oneCellAnchor>
    <xdr:from>
      <xdr:col>1</xdr:col>
      <xdr:colOff>3957</xdr:colOff>
      <xdr:row>20</xdr:row>
      <xdr:rowOff>18806</xdr:rowOff>
    </xdr:from>
    <xdr:ext cx="1712398" cy="330528"/>
    <xdr:pic>
      <xdr:nvPicPr>
        <xdr:cNvPr id="21" name="Рисунок 20" descr="C:\Users\Алексей\Desktop\62102b.jpg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7555679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3957</xdr:colOff>
      <xdr:row>22</xdr:row>
      <xdr:rowOff>32661</xdr:rowOff>
    </xdr:from>
    <xdr:ext cx="1712398" cy="330528"/>
    <xdr:pic>
      <xdr:nvPicPr>
        <xdr:cNvPr id="32" name="Рисунок 31" descr="C:\Users\Алексей\Desktop\62102b.jpg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8289970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3957</xdr:colOff>
      <xdr:row>18</xdr:row>
      <xdr:rowOff>88079</xdr:rowOff>
    </xdr:from>
    <xdr:ext cx="1712398" cy="330528"/>
    <xdr:pic>
      <xdr:nvPicPr>
        <xdr:cNvPr id="33" name="Рисунок 32" descr="C:\Users\Алексей\Desktop\62102b.jpg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6779824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3957</xdr:colOff>
      <xdr:row>17</xdr:row>
      <xdr:rowOff>88078</xdr:rowOff>
    </xdr:from>
    <xdr:ext cx="1712398" cy="330528"/>
    <xdr:pic>
      <xdr:nvPicPr>
        <xdr:cNvPr id="34" name="Рисунок 33" descr="C:\Users\Алексей\Desktop\62102b.jpg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6350333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3957</xdr:colOff>
      <xdr:row>16</xdr:row>
      <xdr:rowOff>115788</xdr:rowOff>
    </xdr:from>
    <xdr:ext cx="1712398" cy="330528"/>
    <xdr:pic>
      <xdr:nvPicPr>
        <xdr:cNvPr id="35" name="Рисунок 34" descr="C:\Users\Алексей\Desktop\62102b.jpg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5906988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3957</xdr:colOff>
      <xdr:row>15</xdr:row>
      <xdr:rowOff>32661</xdr:rowOff>
    </xdr:from>
    <xdr:ext cx="1712398" cy="330528"/>
    <xdr:pic>
      <xdr:nvPicPr>
        <xdr:cNvPr id="36" name="Рисунок 35" descr="C:\Users\Алексей\Desktop\62102b.jpg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5463643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3957</xdr:colOff>
      <xdr:row>23</xdr:row>
      <xdr:rowOff>74224</xdr:rowOff>
    </xdr:from>
    <xdr:ext cx="1712398" cy="330528"/>
    <xdr:pic>
      <xdr:nvPicPr>
        <xdr:cNvPr id="37" name="Рисунок 36" descr="C:\Users\Алексей\Desktop\62102b.jpg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32051" b="33151"/>
        <a:stretch>
          <a:fillRect/>
        </a:stretch>
      </xdr:blipFill>
      <xdr:spPr bwMode="auto">
        <a:xfrm>
          <a:off x="1735775" y="8761024"/>
          <a:ext cx="1712398" cy="330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1160316</xdr:colOff>
      <xdr:row>3</xdr:row>
      <xdr:rowOff>34635</xdr:rowOff>
    </xdr:from>
    <xdr:to>
      <xdr:col>8</xdr:col>
      <xdr:colOff>848590</xdr:colOff>
      <xdr:row>10</xdr:row>
      <xdr:rowOff>323492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314B2B5-5963-479A-B40F-87803307A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98" y="952499"/>
          <a:ext cx="2251365" cy="2401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31372</xdr:rowOff>
    </xdr:from>
    <xdr:ext cx="2736574" cy="629188"/>
    <xdr:pic>
      <xdr:nvPicPr>
        <xdr:cNvPr id="11" name="Рисунок 10" descr="ЛЕС У НАС.png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263285"/>
          <a:ext cx="2736574" cy="629188"/>
        </a:xfrm>
        <a:prstGeom prst="rect">
          <a:avLst/>
        </a:prstGeom>
      </xdr:spPr>
    </xdr:pic>
    <xdr:clientData/>
  </xdr:oneCellAnchor>
  <xdr:oneCellAnchor>
    <xdr:from>
      <xdr:col>2</xdr:col>
      <xdr:colOff>253715</xdr:colOff>
      <xdr:row>19</xdr:row>
      <xdr:rowOff>71032</xdr:rowOff>
    </xdr:from>
    <xdr:ext cx="1495425" cy="247086"/>
    <xdr:pic>
      <xdr:nvPicPr>
        <xdr:cNvPr id="9" name="Рисунок 8" descr="Имитация бруса.jpg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007686" y="5617944"/>
          <a:ext cx="1495425" cy="247086"/>
        </a:xfrm>
        <a:prstGeom prst="rect">
          <a:avLst/>
        </a:prstGeom>
      </xdr:spPr>
    </xdr:pic>
    <xdr:clientData/>
  </xdr:oneCellAnchor>
  <xdr:oneCellAnchor>
    <xdr:from>
      <xdr:col>0</xdr:col>
      <xdr:colOff>105082</xdr:colOff>
      <xdr:row>17</xdr:row>
      <xdr:rowOff>255943</xdr:rowOff>
    </xdr:from>
    <xdr:ext cx="1127760" cy="230055"/>
    <xdr:pic>
      <xdr:nvPicPr>
        <xdr:cNvPr id="12" name="Рисунок 11" descr="C:\Users\Алексей\Desktop\62102b.jpg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t="32051" b="33151"/>
        <a:stretch>
          <a:fillRect/>
        </a:stretch>
      </xdr:blipFill>
      <xdr:spPr bwMode="auto">
        <a:xfrm>
          <a:off x="105082" y="5545119"/>
          <a:ext cx="1127760" cy="23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105082</xdr:colOff>
      <xdr:row>27</xdr:row>
      <xdr:rowOff>13897</xdr:rowOff>
    </xdr:from>
    <xdr:ext cx="1127760" cy="232297"/>
    <xdr:pic>
      <xdr:nvPicPr>
        <xdr:cNvPr id="18" name="Рисунок 17" descr="C:\Users\Алексей\Desktop\62102b.jpg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t="32051" b="33151"/>
        <a:stretch>
          <a:fillRect/>
        </a:stretch>
      </xdr:blipFill>
      <xdr:spPr bwMode="auto">
        <a:xfrm>
          <a:off x="105082" y="8653632"/>
          <a:ext cx="1127760" cy="232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105082</xdr:colOff>
      <xdr:row>28</xdr:row>
      <xdr:rowOff>13897</xdr:rowOff>
    </xdr:from>
    <xdr:ext cx="1127760" cy="232297"/>
    <xdr:pic>
      <xdr:nvPicPr>
        <xdr:cNvPr id="19" name="Рисунок 18" descr="C:\Users\Алексей\Desktop\62102b.jpg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t="32051" b="33151"/>
        <a:stretch>
          <a:fillRect/>
        </a:stretch>
      </xdr:blipFill>
      <xdr:spPr bwMode="auto">
        <a:xfrm>
          <a:off x="105082" y="8911368"/>
          <a:ext cx="1127760" cy="232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105082</xdr:colOff>
      <xdr:row>11</xdr:row>
      <xdr:rowOff>13896</xdr:rowOff>
    </xdr:from>
    <xdr:ext cx="1127760" cy="232297"/>
    <xdr:pic>
      <xdr:nvPicPr>
        <xdr:cNvPr id="20" name="Рисунок 19" descr="C:\Users\Алексей\Desktop\62102b.jpg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t="32051" b="33151"/>
        <a:stretch>
          <a:fillRect/>
        </a:stretch>
      </xdr:blipFill>
      <xdr:spPr bwMode="auto">
        <a:xfrm>
          <a:off x="105082" y="3241190"/>
          <a:ext cx="1127760" cy="232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105082</xdr:colOff>
      <xdr:row>12</xdr:row>
      <xdr:rowOff>255943</xdr:rowOff>
    </xdr:from>
    <xdr:ext cx="1127760" cy="230055"/>
    <xdr:pic>
      <xdr:nvPicPr>
        <xdr:cNvPr id="13" name="Рисунок 12" descr="C:\Users\Алексей\Desktop\62102b.jpg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t="32051" b="33151"/>
        <a:stretch>
          <a:fillRect/>
        </a:stretch>
      </xdr:blipFill>
      <xdr:spPr bwMode="auto">
        <a:xfrm>
          <a:off x="105082" y="3740972"/>
          <a:ext cx="1127760" cy="23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437030</xdr:colOff>
      <xdr:row>0</xdr:row>
      <xdr:rowOff>56028</xdr:rowOff>
    </xdr:from>
    <xdr:to>
      <xdr:col>7</xdr:col>
      <xdr:colOff>22411</xdr:colOff>
      <xdr:row>7</xdr:row>
      <xdr:rowOff>9934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54BA25-1D53-436F-862F-9C80D022E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56028"/>
          <a:ext cx="1546411" cy="17020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97179</xdr:colOff>
      <xdr:row>21</xdr:row>
      <xdr:rowOff>161929</xdr:rowOff>
    </xdr:from>
    <xdr:ext cx="1138349" cy="1152318"/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07154" y="4914904"/>
          <a:ext cx="1138349" cy="1152318"/>
        </a:xfrm>
        <a:prstGeom prst="rect">
          <a:avLst/>
        </a:prstGeom>
      </xdr:spPr>
    </xdr:pic>
    <xdr:clientData/>
  </xdr:oneCellAnchor>
  <xdr:oneCellAnchor>
    <xdr:from>
      <xdr:col>1</xdr:col>
      <xdr:colOff>1220561</xdr:colOff>
      <xdr:row>23</xdr:row>
      <xdr:rowOff>144834</xdr:rowOff>
    </xdr:from>
    <xdr:ext cx="1613883" cy="1630180"/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30536" y="5355009"/>
          <a:ext cx="1613883" cy="1630180"/>
        </a:xfrm>
        <a:prstGeom prst="rect">
          <a:avLst/>
        </a:prstGeom>
      </xdr:spPr>
    </xdr:pic>
    <xdr:clientData/>
  </xdr:oneCellAnchor>
  <xdr:oneCellAnchor>
    <xdr:from>
      <xdr:col>1</xdr:col>
      <xdr:colOff>1990725</xdr:colOff>
      <xdr:row>47</xdr:row>
      <xdr:rowOff>126694</xdr:rowOff>
    </xdr:from>
    <xdr:ext cx="1446439" cy="1144141"/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00700" y="10823269"/>
          <a:ext cx="1446439" cy="114414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20231</xdr:rowOff>
    </xdr:from>
    <xdr:ext cx="2063681" cy="442412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0" y="265160"/>
          <a:ext cx="2063681" cy="442412"/>
        </a:xfrm>
        <a:prstGeom prst="rect">
          <a:avLst/>
        </a:prstGeom>
      </xdr:spPr>
    </xdr:pic>
    <xdr:clientData/>
  </xdr:oneCellAnchor>
  <xdr:oneCellAnchor>
    <xdr:from>
      <xdr:col>1</xdr:col>
      <xdr:colOff>2004333</xdr:colOff>
      <xdr:row>40</xdr:row>
      <xdr:rowOff>31749</xdr:rowOff>
    </xdr:from>
    <xdr:ext cx="1529442" cy="1542600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38" t="12892" r="13955" b="10663"/>
        <a:stretch/>
      </xdr:blipFill>
      <xdr:spPr bwMode="auto">
        <a:xfrm>
          <a:off x="5614308" y="9128124"/>
          <a:ext cx="1529442" cy="1542600"/>
        </a:xfrm>
        <a:prstGeom prst="rect">
          <a:avLst/>
        </a:prstGeom>
      </xdr:spPr>
    </xdr:pic>
    <xdr:clientData/>
  </xdr:oneCellAnchor>
  <xdr:oneCellAnchor>
    <xdr:from>
      <xdr:col>1</xdr:col>
      <xdr:colOff>28499</xdr:colOff>
      <xdr:row>27</xdr:row>
      <xdr:rowOff>29690</xdr:rowOff>
    </xdr:from>
    <xdr:ext cx="1427466" cy="1082375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38474" y="6154265"/>
          <a:ext cx="1427466" cy="1082375"/>
        </a:xfrm>
        <a:prstGeom prst="rect">
          <a:avLst/>
        </a:prstGeom>
      </xdr:spPr>
    </xdr:pic>
    <xdr:clientData/>
  </xdr:oneCellAnchor>
  <xdr:oneCellAnchor>
    <xdr:from>
      <xdr:col>1</xdr:col>
      <xdr:colOff>1955195</xdr:colOff>
      <xdr:row>19</xdr:row>
      <xdr:rowOff>55398</xdr:rowOff>
    </xdr:from>
    <xdr:ext cx="1945485" cy="1966622"/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65170" y="4351173"/>
          <a:ext cx="1945485" cy="1966622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36</xdr:row>
      <xdr:rowOff>161925</xdr:rowOff>
    </xdr:from>
    <xdr:ext cx="1323976" cy="1123950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3" t="11466" r="13086" b="5974"/>
        <a:stretch/>
      </xdr:blipFill>
      <xdr:spPr bwMode="auto">
        <a:xfrm>
          <a:off x="3838575" y="8343900"/>
          <a:ext cx="1323976" cy="1123950"/>
        </a:xfrm>
        <a:prstGeom prst="rect">
          <a:avLst/>
        </a:prstGeom>
      </xdr:spPr>
    </xdr:pic>
    <xdr:clientData/>
  </xdr:oneCellAnchor>
  <xdr:oneCellAnchor>
    <xdr:from>
      <xdr:col>1</xdr:col>
      <xdr:colOff>2781300</xdr:colOff>
      <xdr:row>34</xdr:row>
      <xdr:rowOff>38101</xdr:rowOff>
    </xdr:from>
    <xdr:ext cx="757428" cy="1066800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75" t="8185" r="26973" b="11578"/>
        <a:stretch/>
      </xdr:blipFill>
      <xdr:spPr bwMode="auto">
        <a:xfrm>
          <a:off x="6391275" y="7762876"/>
          <a:ext cx="757428" cy="1066800"/>
        </a:xfrm>
        <a:prstGeom prst="rect">
          <a:avLst/>
        </a:prstGeom>
      </xdr:spPr>
    </xdr:pic>
    <xdr:clientData/>
  </xdr:oneCellAnchor>
  <xdr:oneCellAnchor>
    <xdr:from>
      <xdr:col>1</xdr:col>
      <xdr:colOff>136072</xdr:colOff>
      <xdr:row>30</xdr:row>
      <xdr:rowOff>456328</xdr:rowOff>
    </xdr:from>
    <xdr:ext cx="1061357" cy="750625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66358" y="8729471"/>
          <a:ext cx="1061357" cy="750625"/>
        </a:xfrm>
        <a:prstGeom prst="rect">
          <a:avLst/>
        </a:prstGeom>
      </xdr:spPr>
    </xdr:pic>
    <xdr:clientData/>
  </xdr:oneCellAnchor>
  <xdr:oneCellAnchor>
    <xdr:from>
      <xdr:col>1</xdr:col>
      <xdr:colOff>1011010</xdr:colOff>
      <xdr:row>32</xdr:row>
      <xdr:rowOff>159485</xdr:rowOff>
    </xdr:from>
    <xdr:ext cx="1675040" cy="926556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03" b="23797"/>
        <a:stretch/>
      </xdr:blipFill>
      <xdr:spPr bwMode="auto">
        <a:xfrm>
          <a:off x="4620985" y="7427060"/>
          <a:ext cx="1675040" cy="926556"/>
        </a:xfrm>
        <a:prstGeom prst="rect">
          <a:avLst/>
        </a:prstGeom>
      </xdr:spPr>
    </xdr:pic>
    <xdr:clientData/>
  </xdr:oneCellAnchor>
  <xdr:oneCellAnchor>
    <xdr:from>
      <xdr:col>1</xdr:col>
      <xdr:colOff>447674</xdr:colOff>
      <xdr:row>10</xdr:row>
      <xdr:rowOff>104775</xdr:rowOff>
    </xdr:from>
    <xdr:ext cx="1181101" cy="2571750"/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81" t="4805" r="29315" b="4366"/>
        <a:stretch/>
      </xdr:blipFill>
      <xdr:spPr bwMode="auto">
        <a:xfrm>
          <a:off x="4057649" y="2343150"/>
          <a:ext cx="1181101" cy="2571750"/>
        </a:xfrm>
        <a:prstGeom prst="rect">
          <a:avLst/>
        </a:prstGeom>
      </xdr:spPr>
    </xdr:pic>
    <xdr:clientData/>
  </xdr:oneCellAnchor>
  <xdr:oneCellAnchor>
    <xdr:from>
      <xdr:col>1</xdr:col>
      <xdr:colOff>2047875</xdr:colOff>
      <xdr:row>10</xdr:row>
      <xdr:rowOff>107497</xdr:rowOff>
    </xdr:from>
    <xdr:ext cx="1377043" cy="1309871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35" b="9927"/>
        <a:stretch/>
      </xdr:blipFill>
      <xdr:spPr bwMode="auto">
        <a:xfrm>
          <a:off x="5657850" y="2345872"/>
          <a:ext cx="1377043" cy="1309871"/>
        </a:xfrm>
        <a:prstGeom prst="rect">
          <a:avLst/>
        </a:prstGeom>
      </xdr:spPr>
    </xdr:pic>
    <xdr:clientData/>
  </xdr:oneCellAnchor>
  <xdr:oneCellAnchor>
    <xdr:from>
      <xdr:col>1</xdr:col>
      <xdr:colOff>2298247</xdr:colOff>
      <xdr:row>16</xdr:row>
      <xdr:rowOff>102411</xdr:rowOff>
    </xdr:from>
    <xdr:ext cx="1061356" cy="1145588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8222" y="3712386"/>
          <a:ext cx="1061356" cy="1145588"/>
        </a:xfrm>
        <a:prstGeom prst="rect">
          <a:avLst/>
        </a:prstGeom>
      </xdr:spPr>
    </xdr:pic>
    <xdr:clientData/>
  </xdr:oneCellAnchor>
  <xdr:oneCellAnchor>
    <xdr:from>
      <xdr:col>1</xdr:col>
      <xdr:colOff>171450</xdr:colOff>
      <xdr:row>40</xdr:row>
      <xdr:rowOff>189139</xdr:rowOff>
    </xdr:from>
    <xdr:ext cx="1771650" cy="1657176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1425" y="9285514"/>
          <a:ext cx="1771650" cy="1657176"/>
        </a:xfrm>
        <a:prstGeom prst="rect">
          <a:avLst/>
        </a:prstGeom>
      </xdr:spPr>
    </xdr:pic>
    <xdr:clientData/>
  </xdr:oneCellAnchor>
  <xdr:oneCellAnchor>
    <xdr:from>
      <xdr:col>1</xdr:col>
      <xdr:colOff>312348</xdr:colOff>
      <xdr:row>47</xdr:row>
      <xdr:rowOff>171903</xdr:rowOff>
    </xdr:from>
    <xdr:ext cx="1409229" cy="857708"/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21400137">
          <a:off x="3922323" y="10868478"/>
          <a:ext cx="1409229" cy="857708"/>
        </a:xfrm>
        <a:prstGeom prst="rect">
          <a:avLst/>
        </a:prstGeom>
      </xdr:spPr>
    </xdr:pic>
    <xdr:clientData/>
  </xdr:oneCellAnchor>
  <xdr:oneCellAnchor>
    <xdr:from>
      <xdr:col>1</xdr:col>
      <xdr:colOff>55790</xdr:colOff>
      <xdr:row>52</xdr:row>
      <xdr:rowOff>83003</xdr:rowOff>
    </xdr:from>
    <xdr:ext cx="1677760" cy="992821"/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76" b="23684"/>
        <a:stretch/>
      </xdr:blipFill>
      <xdr:spPr bwMode="auto">
        <a:xfrm rot="20517627">
          <a:off x="3665765" y="11922578"/>
          <a:ext cx="1677760" cy="992821"/>
        </a:xfrm>
        <a:prstGeom prst="rect">
          <a:avLst/>
        </a:prstGeom>
      </xdr:spPr>
    </xdr:pic>
    <xdr:clientData/>
  </xdr:oneCellAnchor>
  <xdr:oneCellAnchor>
    <xdr:from>
      <xdr:col>1</xdr:col>
      <xdr:colOff>1872928</xdr:colOff>
      <xdr:row>53</xdr:row>
      <xdr:rowOff>113377</xdr:rowOff>
    </xdr:from>
    <xdr:ext cx="1589724" cy="896757"/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90" r="4219" b="8119"/>
        <a:stretch/>
      </xdr:blipFill>
      <xdr:spPr bwMode="auto">
        <a:xfrm rot="21187157">
          <a:off x="5478821" y="12278163"/>
          <a:ext cx="1589724" cy="896757"/>
        </a:xfrm>
        <a:prstGeom prst="rect">
          <a:avLst/>
        </a:prstGeom>
      </xdr:spPr>
    </xdr:pic>
    <xdr:clientData/>
  </xdr:oneCellAnchor>
  <xdr:oneCellAnchor>
    <xdr:from>
      <xdr:col>1</xdr:col>
      <xdr:colOff>2297774</xdr:colOff>
      <xdr:row>28</xdr:row>
      <xdr:rowOff>48513</xdr:rowOff>
    </xdr:from>
    <xdr:ext cx="1171299" cy="909429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9203723">
          <a:off x="5907749" y="6401688"/>
          <a:ext cx="1171299" cy="909429"/>
        </a:xfrm>
        <a:prstGeom prst="rect">
          <a:avLst/>
        </a:prstGeom>
      </xdr:spPr>
    </xdr:pic>
    <xdr:clientData/>
  </xdr:oneCellAnchor>
  <xdr:twoCellAnchor editAs="oneCell">
    <xdr:from>
      <xdr:col>1</xdr:col>
      <xdr:colOff>2962275</xdr:colOff>
      <xdr:row>0</xdr:row>
      <xdr:rowOff>47626</xdr:rowOff>
    </xdr:from>
    <xdr:to>
      <xdr:col>2</xdr:col>
      <xdr:colOff>695325</xdr:colOff>
      <xdr:row>7</xdr:row>
      <xdr:rowOff>13477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29DD5B9-7599-4882-968F-97C81D74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47626"/>
          <a:ext cx="1419225" cy="14612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54225</xdr:colOff>
      <xdr:row>0</xdr:row>
      <xdr:rowOff>173731</xdr:rowOff>
    </xdr:from>
    <xdr:ext cx="2292736" cy="436263"/>
    <xdr:pic>
      <xdr:nvPicPr>
        <xdr:cNvPr id="3" name="Рисунок 2" descr="ЛЕС У НАС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4225" y="173731"/>
          <a:ext cx="2292736" cy="436263"/>
        </a:xfrm>
        <a:prstGeom prst="rect">
          <a:avLst/>
        </a:prstGeom>
      </xdr:spPr>
    </xdr:pic>
    <xdr:clientData/>
  </xdr:oneCellAnchor>
  <xdr:oneCellAnchor>
    <xdr:from>
      <xdr:col>2</xdr:col>
      <xdr:colOff>608528</xdr:colOff>
      <xdr:row>19</xdr:row>
      <xdr:rowOff>82134</xdr:rowOff>
    </xdr:from>
    <xdr:ext cx="4656" cy="401730"/>
    <xdr:pic>
      <xdr:nvPicPr>
        <xdr:cNvPr id="5" name="Picture 60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66128" y="5063709"/>
          <a:ext cx="1061931" cy="849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606644</xdr:colOff>
      <xdr:row>43</xdr:row>
      <xdr:rowOff>24847</xdr:rowOff>
    </xdr:from>
    <xdr:ext cx="1642" cy="295573"/>
    <xdr:pic>
      <xdr:nvPicPr>
        <xdr:cNvPr id="25" name="Рисунок 24" descr="C:\Users\Turin\Desktop\Штапик квадратный.jp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t="43746" r="59282" b="15727"/>
        <a:stretch>
          <a:fillRect/>
        </a:stretch>
      </xdr:blipFill>
      <xdr:spPr bwMode="auto">
        <a:xfrm>
          <a:off x="4216619" y="18293797"/>
          <a:ext cx="525517" cy="4670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608249</xdr:colOff>
      <xdr:row>16</xdr:row>
      <xdr:rowOff>156050</xdr:rowOff>
    </xdr:from>
    <xdr:ext cx="2132" cy="670072"/>
    <xdr:pic>
      <xdr:nvPicPr>
        <xdr:cNvPr id="28" name="Picture 606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65849" y="4289900"/>
          <a:ext cx="1059407" cy="831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180265</xdr:colOff>
      <xdr:row>43</xdr:row>
      <xdr:rowOff>28575</xdr:rowOff>
    </xdr:from>
    <xdr:ext cx="2161107" cy="1556386"/>
    <xdr:pic>
      <xdr:nvPicPr>
        <xdr:cNvPr id="30" name="Рисунок 29" descr="C:\Users\Алексей\Desktop\2467_0.jp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41725" y="10635615"/>
          <a:ext cx="2161107" cy="1556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65422</xdr:colOff>
      <xdr:row>14</xdr:row>
      <xdr:rowOff>238123</xdr:rowOff>
    </xdr:from>
    <xdr:ext cx="2306303" cy="2025017"/>
    <xdr:pic>
      <xdr:nvPicPr>
        <xdr:cNvPr id="31" name="Рисунок 30" descr="C:\Users\Алексей\Desktop\vagonka-osina-250x250.jp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r="13658" b="15001"/>
        <a:stretch>
          <a:fillRect/>
        </a:stretch>
      </xdr:blipFill>
      <xdr:spPr bwMode="auto">
        <a:xfrm>
          <a:off x="4018297" y="3352798"/>
          <a:ext cx="2306303" cy="2025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859155</xdr:colOff>
      <xdr:row>39</xdr:row>
      <xdr:rowOff>66676</xdr:rowOff>
    </xdr:from>
    <xdr:ext cx="693420" cy="495300"/>
    <xdr:pic>
      <xdr:nvPicPr>
        <xdr:cNvPr id="22" name="Рисунок 21" descr="C:\Users\Алексей\Desktop\Плинтус осина.jpe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17553" t="24240" r="17420" b="29387"/>
        <a:stretch/>
      </xdr:blipFill>
      <xdr:spPr bwMode="auto">
        <a:xfrm>
          <a:off x="4812030" y="9829801"/>
          <a:ext cx="6934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723900</xdr:colOff>
      <xdr:row>35</xdr:row>
      <xdr:rowOff>36195</xdr:rowOff>
    </xdr:from>
    <xdr:ext cx="1219200" cy="656354"/>
    <xdr:pic>
      <xdr:nvPicPr>
        <xdr:cNvPr id="24" name="Рисунок 23" descr="C:\Users\Алексей\Desktop\Наличник осина.jp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/>
      </xdr:nvPicPr>
      <xdr:blipFill rotWithShape="1">
        <a:blip xmlns:r="http://schemas.openxmlformats.org/officeDocument/2006/relationships" r:embed="rId8" cstate="print"/>
        <a:srcRect t="14873" b="4103"/>
        <a:stretch/>
      </xdr:blipFill>
      <xdr:spPr bwMode="auto">
        <a:xfrm>
          <a:off x="4785360" y="9195435"/>
          <a:ext cx="1219200" cy="656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9524</xdr:colOff>
      <xdr:row>29</xdr:row>
      <xdr:rowOff>177166</xdr:rowOff>
    </xdr:from>
    <xdr:ext cx="2228851" cy="1470660"/>
    <xdr:pic>
      <xdr:nvPicPr>
        <xdr:cNvPr id="29" name="Рисунок 28" descr="C:\Users\Алексей\Desktop\Раскладка осина.jp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 l="18115" t="57408" r="29580" b="8935"/>
        <a:stretch>
          <a:fillRect/>
        </a:stretch>
      </xdr:blipFill>
      <xdr:spPr bwMode="auto">
        <a:xfrm>
          <a:off x="3962399" y="6958966"/>
          <a:ext cx="2228851" cy="1470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6085</xdr:colOff>
      <xdr:row>30</xdr:row>
      <xdr:rowOff>91440</xdr:rowOff>
    </xdr:from>
    <xdr:ext cx="1091196" cy="220980"/>
    <xdr:pic>
      <xdr:nvPicPr>
        <xdr:cNvPr id="35" name="Рисунок 34" descr="C:\Users\Алексей\Desktop\62102b.jp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rcRect t="32051" b="33151"/>
        <a:stretch>
          <a:fillRect/>
        </a:stretch>
      </xdr:blipFill>
      <xdr:spPr bwMode="auto">
        <a:xfrm>
          <a:off x="6085" y="7208520"/>
          <a:ext cx="1091196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1714500</xdr:colOff>
      <xdr:row>1</xdr:row>
      <xdr:rowOff>0</xdr:rowOff>
    </xdr:from>
    <xdr:to>
      <xdr:col>3</xdr:col>
      <xdr:colOff>428625</xdr:colOff>
      <xdr:row>7</xdr:row>
      <xdr:rowOff>97886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28B9230-69D4-4C7B-9F8E-07743D4B6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190500"/>
          <a:ext cx="1162050" cy="1278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207268</xdr:rowOff>
    </xdr:from>
    <xdr:ext cx="2600324" cy="560447"/>
    <xdr:pic>
      <xdr:nvPicPr>
        <xdr:cNvPr id="2" name="Рисунок 1" descr="ЛЕС У НАС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207268"/>
          <a:ext cx="2600324" cy="560447"/>
        </a:xfrm>
        <a:prstGeom prst="rect">
          <a:avLst/>
        </a:prstGeom>
      </xdr:spPr>
    </xdr:pic>
    <xdr:clientData/>
  </xdr:oneCellAnchor>
  <xdr:oneCellAnchor>
    <xdr:from>
      <xdr:col>0</xdr:col>
      <xdr:colOff>43543</xdr:colOff>
      <xdr:row>10</xdr:row>
      <xdr:rowOff>388621</xdr:rowOff>
    </xdr:from>
    <xdr:ext cx="2280557" cy="1412965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2" t="29313" r="8547" b="24649"/>
        <a:stretch/>
      </xdr:blipFill>
      <xdr:spPr bwMode="auto">
        <a:xfrm>
          <a:off x="43543" y="3148150"/>
          <a:ext cx="2280557" cy="1412965"/>
        </a:xfrm>
        <a:prstGeom prst="rect">
          <a:avLst/>
        </a:prstGeom>
      </xdr:spPr>
    </xdr:pic>
    <xdr:clientData/>
  </xdr:oneCellAnchor>
  <xdr:oneCellAnchor>
    <xdr:from>
      <xdr:col>0</xdr:col>
      <xdr:colOff>396437</xdr:colOff>
      <xdr:row>14</xdr:row>
      <xdr:rowOff>42309</xdr:rowOff>
    </xdr:from>
    <xdr:ext cx="1156138" cy="620168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7" t="13889" r="3309" b="19444"/>
        <a:stretch/>
      </xdr:blipFill>
      <xdr:spPr bwMode="auto">
        <a:xfrm>
          <a:off x="396437" y="4881009"/>
          <a:ext cx="1156138" cy="620168"/>
        </a:xfrm>
        <a:prstGeom prst="rect">
          <a:avLst/>
        </a:prstGeom>
      </xdr:spPr>
    </xdr:pic>
    <xdr:clientData/>
  </xdr:oneCellAnchor>
  <xdr:oneCellAnchor>
    <xdr:from>
      <xdr:col>0</xdr:col>
      <xdr:colOff>545225</xdr:colOff>
      <xdr:row>16</xdr:row>
      <xdr:rowOff>27861</xdr:rowOff>
    </xdr:from>
    <xdr:ext cx="864475" cy="694048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" t="15817" r="3334" b="2728"/>
        <a:stretch/>
      </xdr:blipFill>
      <xdr:spPr bwMode="auto">
        <a:xfrm>
          <a:off x="545225" y="5942886"/>
          <a:ext cx="864475" cy="694048"/>
        </a:xfrm>
        <a:prstGeom prst="rect">
          <a:avLst/>
        </a:prstGeom>
      </xdr:spPr>
    </xdr:pic>
    <xdr:clientData/>
  </xdr:oneCellAnchor>
  <xdr:oneCellAnchor>
    <xdr:from>
      <xdr:col>0</xdr:col>
      <xdr:colOff>676275</xdr:colOff>
      <xdr:row>18</xdr:row>
      <xdr:rowOff>55900</xdr:rowOff>
    </xdr:from>
    <xdr:ext cx="1047750" cy="867833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11" t="25302" r="18628" b="15081"/>
        <a:stretch/>
      </xdr:blipFill>
      <xdr:spPr bwMode="auto">
        <a:xfrm>
          <a:off x="676275" y="7066300"/>
          <a:ext cx="1047750" cy="867833"/>
        </a:xfrm>
        <a:prstGeom prst="rect">
          <a:avLst/>
        </a:prstGeom>
      </xdr:spPr>
    </xdr:pic>
    <xdr:clientData/>
  </xdr:oneCellAnchor>
  <xdr:twoCellAnchor editAs="oneCell">
    <xdr:from>
      <xdr:col>0</xdr:col>
      <xdr:colOff>695325</xdr:colOff>
      <xdr:row>19</xdr:row>
      <xdr:rowOff>66675</xdr:rowOff>
    </xdr:from>
    <xdr:to>
      <xdr:col>0</xdr:col>
      <xdr:colOff>1638301</xdr:colOff>
      <xdr:row>19</xdr:row>
      <xdr:rowOff>858774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FFDB2C8-10E1-4DA7-911B-1F33AD9F2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2" t="9375" r="4376" b="8594"/>
        <a:stretch/>
      </xdr:blipFill>
      <xdr:spPr>
        <a:xfrm>
          <a:off x="695325" y="8267700"/>
          <a:ext cx="942976" cy="792099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20</xdr:row>
      <xdr:rowOff>57150</xdr:rowOff>
    </xdr:from>
    <xdr:to>
      <xdr:col>0</xdr:col>
      <xdr:colOff>1638301</xdr:colOff>
      <xdr:row>20</xdr:row>
      <xdr:rowOff>849249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93C845B9-FCA5-4077-BD9D-C43FF1725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2" t="9375" r="4376" b="8594"/>
        <a:stretch/>
      </xdr:blipFill>
      <xdr:spPr>
        <a:xfrm>
          <a:off x="695325" y="9448800"/>
          <a:ext cx="942976" cy="792099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21</xdr:row>
      <xdr:rowOff>66675</xdr:rowOff>
    </xdr:from>
    <xdr:to>
      <xdr:col>0</xdr:col>
      <xdr:colOff>1638301</xdr:colOff>
      <xdr:row>21</xdr:row>
      <xdr:rowOff>858774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807DD11-846B-48A5-93AD-E73F08796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2" t="9375" r="4376" b="8594"/>
        <a:stretch/>
      </xdr:blipFill>
      <xdr:spPr>
        <a:xfrm>
          <a:off x="695325" y="10648950"/>
          <a:ext cx="942976" cy="792099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22</xdr:row>
      <xdr:rowOff>85725</xdr:rowOff>
    </xdr:from>
    <xdr:to>
      <xdr:col>0</xdr:col>
      <xdr:colOff>1638301</xdr:colOff>
      <xdr:row>22</xdr:row>
      <xdr:rowOff>877824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F56D6BFE-CDAA-4DE1-A478-4FE31D0D9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2" t="9375" r="4376" b="8594"/>
        <a:stretch/>
      </xdr:blipFill>
      <xdr:spPr>
        <a:xfrm>
          <a:off x="695325" y="11858625"/>
          <a:ext cx="942976" cy="792099"/>
        </a:xfrm>
        <a:prstGeom prst="rect">
          <a:avLst/>
        </a:prstGeom>
      </xdr:spPr>
    </xdr:pic>
    <xdr:clientData/>
  </xdr:twoCellAnchor>
  <xdr:twoCellAnchor editAs="oneCell">
    <xdr:from>
      <xdr:col>1</xdr:col>
      <xdr:colOff>3248025</xdr:colOff>
      <xdr:row>0</xdr:row>
      <xdr:rowOff>219075</xdr:rowOff>
    </xdr:from>
    <xdr:to>
      <xdr:col>2</xdr:col>
      <xdr:colOff>161162</xdr:colOff>
      <xdr:row>6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AB82847-9C58-40B9-8A36-5AA9DD193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219075"/>
          <a:ext cx="1332737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79"/>
  <sheetViews>
    <sheetView zoomScale="70" zoomScaleNormal="70" workbookViewId="0">
      <selection activeCell="I11" sqref="I11"/>
    </sheetView>
  </sheetViews>
  <sheetFormatPr defaultColWidth="10" defaultRowHeight="12.75" x14ac:dyDescent="0.2"/>
  <cols>
    <col min="1" max="1" width="2.7109375" customWidth="1"/>
    <col min="2" max="2" width="49" style="249" customWidth="1"/>
    <col min="3" max="3" width="23.7109375" style="249" customWidth="1"/>
    <col min="4" max="4" width="30" style="250" customWidth="1"/>
    <col min="5" max="5" width="1.28515625" customWidth="1"/>
  </cols>
  <sheetData>
    <row r="1" spans="2:5" ht="20.25" x14ac:dyDescent="0.3">
      <c r="B1" s="712" t="s">
        <v>0</v>
      </c>
      <c r="C1" s="712"/>
      <c r="D1" s="712"/>
    </row>
    <row r="2" spans="2:5" ht="20.25" x14ac:dyDescent="0.2">
      <c r="B2" s="718" t="s">
        <v>1</v>
      </c>
      <c r="C2" s="718"/>
      <c r="D2" s="718"/>
    </row>
    <row r="3" spans="2:5" ht="20.25" x14ac:dyDescent="0.3">
      <c r="B3" s="712" t="s">
        <v>2</v>
      </c>
      <c r="C3" s="712"/>
      <c r="D3" s="712"/>
    </row>
    <row r="4" spans="2:5" ht="20.25" x14ac:dyDescent="0.3">
      <c r="B4" s="712" t="s">
        <v>3</v>
      </c>
      <c r="C4" s="712"/>
      <c r="D4" s="712"/>
    </row>
    <row r="5" spans="2:5" ht="20.25" x14ac:dyDescent="0.3">
      <c r="B5" s="712" t="s">
        <v>1105</v>
      </c>
      <c r="C5" s="712"/>
      <c r="D5" s="712"/>
    </row>
    <row r="6" spans="2:5" ht="20.25" x14ac:dyDescent="0.3">
      <c r="B6" s="712" t="s">
        <v>4</v>
      </c>
      <c r="C6" s="712"/>
      <c r="D6" s="712"/>
    </row>
    <row r="7" spans="2:5" ht="17.45" customHeight="1" thickBot="1" x14ac:dyDescent="0.25">
      <c r="B7" s="714" t="s">
        <v>1151</v>
      </c>
      <c r="C7" s="714"/>
      <c r="D7" s="714"/>
      <c r="E7" s="714"/>
    </row>
    <row r="8" spans="2:5" ht="11.45" hidden="1" customHeight="1" x14ac:dyDescent="0.65">
      <c r="B8" s="713"/>
      <c r="C8" s="713"/>
      <c r="D8" s="713"/>
    </row>
    <row r="9" spans="2:5" ht="70.150000000000006" customHeight="1" thickBot="1" x14ac:dyDescent="0.9">
      <c r="B9" s="715" t="s">
        <v>677</v>
      </c>
      <c r="C9" s="716"/>
      <c r="D9" s="717"/>
    </row>
    <row r="10" spans="2:5" ht="4.1500000000000004" customHeight="1" thickBot="1" x14ac:dyDescent="0.5">
      <c r="B10" s="571"/>
      <c r="C10" s="571"/>
      <c r="D10" s="571"/>
    </row>
    <row r="11" spans="2:5" ht="54.75" customHeight="1" thickBot="1" x14ac:dyDescent="0.25">
      <c r="B11" s="488" t="s">
        <v>5</v>
      </c>
      <c r="C11" s="489" t="s">
        <v>6</v>
      </c>
      <c r="D11" s="490" t="s">
        <v>7</v>
      </c>
    </row>
    <row r="12" spans="2:5" s="9" customFormat="1" ht="24.75" customHeight="1" thickBot="1" x14ac:dyDescent="0.25">
      <c r="B12" s="709" t="s">
        <v>834</v>
      </c>
      <c r="C12" s="710"/>
      <c r="D12" s="711"/>
    </row>
    <row r="13" spans="2:5" s="573" customFormat="1" ht="24.75" customHeight="1" thickBot="1" x14ac:dyDescent="0.25">
      <c r="B13" s="572" t="s">
        <v>332</v>
      </c>
      <c r="C13" s="558" t="s">
        <v>890</v>
      </c>
      <c r="D13" s="169" t="s">
        <v>835</v>
      </c>
    </row>
    <row r="14" spans="2:5" s="574" customFormat="1" ht="24.75" customHeight="1" thickBot="1" x14ac:dyDescent="0.25">
      <c r="B14" s="709" t="s">
        <v>831</v>
      </c>
      <c r="C14" s="710"/>
      <c r="D14" s="711"/>
    </row>
    <row r="15" spans="2:5" s="574" customFormat="1" ht="24.75" customHeight="1" thickBot="1" x14ac:dyDescent="0.25">
      <c r="B15" s="576" t="s">
        <v>798</v>
      </c>
      <c r="C15" s="577">
        <v>10000</v>
      </c>
      <c r="D15" s="578">
        <v>50</v>
      </c>
    </row>
    <row r="16" spans="2:5" s="247" customFormat="1" ht="24.75" customHeight="1" thickBot="1" x14ac:dyDescent="0.25">
      <c r="B16" s="719" t="s">
        <v>9</v>
      </c>
      <c r="C16" s="720"/>
      <c r="D16" s="721"/>
    </row>
    <row r="17" spans="2:4" s="247" customFormat="1" ht="24.75" customHeight="1" x14ac:dyDescent="0.2">
      <c r="B17" s="580" t="s">
        <v>46</v>
      </c>
      <c r="C17" s="581">
        <v>12000</v>
      </c>
      <c r="D17" s="582">
        <v>48</v>
      </c>
    </row>
    <row r="18" spans="2:4" s="247" customFormat="1" ht="24.75" customHeight="1" x14ac:dyDescent="0.2">
      <c r="B18" s="583" t="s">
        <v>47</v>
      </c>
      <c r="C18" s="584">
        <v>12000</v>
      </c>
      <c r="D18" s="585">
        <v>60</v>
      </c>
    </row>
    <row r="19" spans="2:4" s="247" customFormat="1" ht="24.75" customHeight="1" x14ac:dyDescent="0.2">
      <c r="B19" s="583" t="s">
        <v>1109</v>
      </c>
      <c r="C19" s="584">
        <v>12000</v>
      </c>
      <c r="D19" s="585">
        <v>75</v>
      </c>
    </row>
    <row r="20" spans="2:4" s="247" customFormat="1" ht="24.75" customHeight="1" x14ac:dyDescent="0.2">
      <c r="B20" s="583" t="s">
        <v>48</v>
      </c>
      <c r="C20" s="584">
        <v>12000</v>
      </c>
      <c r="D20" s="585">
        <v>90</v>
      </c>
    </row>
    <row r="21" spans="2:4" s="247" customFormat="1" ht="24.75" customHeight="1" thickBot="1" x14ac:dyDescent="0.25">
      <c r="B21" s="583" t="s">
        <v>14</v>
      </c>
      <c r="C21" s="584">
        <v>18000</v>
      </c>
      <c r="D21" s="585">
        <v>270</v>
      </c>
    </row>
    <row r="22" spans="2:4" s="247" customFormat="1" ht="24.75" customHeight="1" thickBot="1" x14ac:dyDescent="0.25">
      <c r="B22" s="719" t="s">
        <v>20</v>
      </c>
      <c r="C22" s="720"/>
      <c r="D22" s="721"/>
    </row>
    <row r="23" spans="2:4" s="247" customFormat="1" ht="24.75" customHeight="1" x14ac:dyDescent="0.2">
      <c r="B23" s="193" t="s">
        <v>21</v>
      </c>
      <c r="C23" s="586" t="s">
        <v>891</v>
      </c>
      <c r="D23" s="193" t="s">
        <v>832</v>
      </c>
    </row>
    <row r="24" spans="2:4" s="247" customFormat="1" ht="24.75" customHeight="1" x14ac:dyDescent="0.2">
      <c r="B24" s="184" t="s">
        <v>10</v>
      </c>
      <c r="C24" s="587" t="s">
        <v>891</v>
      </c>
      <c r="D24" s="187" t="s">
        <v>833</v>
      </c>
    </row>
    <row r="25" spans="2:4" s="247" customFormat="1" ht="24.75" customHeight="1" thickBot="1" x14ac:dyDescent="0.25">
      <c r="B25" s="167" t="s">
        <v>14</v>
      </c>
      <c r="C25" s="588" t="s">
        <v>891</v>
      </c>
      <c r="D25" s="417" t="s">
        <v>909</v>
      </c>
    </row>
    <row r="26" spans="2:4" s="247" customFormat="1" ht="24.75" customHeight="1" thickBot="1" x14ac:dyDescent="0.25">
      <c r="B26" s="722" t="s">
        <v>837</v>
      </c>
      <c r="C26" s="723"/>
      <c r="D26" s="724"/>
    </row>
    <row r="27" spans="2:4" s="247" customFormat="1" ht="24.75" customHeight="1" x14ac:dyDescent="0.2">
      <c r="B27" s="370" t="s">
        <v>1017</v>
      </c>
      <c r="C27" s="371" t="s">
        <v>859</v>
      </c>
      <c r="D27" s="372" t="s">
        <v>1021</v>
      </c>
    </row>
    <row r="28" spans="2:4" s="247" customFormat="1" ht="24.75" customHeight="1" x14ac:dyDescent="0.2">
      <c r="B28" s="370" t="s">
        <v>716</v>
      </c>
      <c r="C28" s="371" t="s">
        <v>1020</v>
      </c>
      <c r="D28" s="372" t="s">
        <v>1022</v>
      </c>
    </row>
    <row r="29" spans="2:4" s="247" customFormat="1" ht="24.75" customHeight="1" thickBot="1" x14ac:dyDescent="0.25">
      <c r="B29" s="370" t="s">
        <v>146</v>
      </c>
      <c r="C29" s="371" t="s">
        <v>839</v>
      </c>
      <c r="D29" s="372" t="s">
        <v>838</v>
      </c>
    </row>
    <row r="30" spans="2:4" s="247" customFormat="1" ht="24.75" customHeight="1" thickBot="1" x14ac:dyDescent="0.25">
      <c r="B30" s="719" t="s">
        <v>842</v>
      </c>
      <c r="C30" s="720"/>
      <c r="D30" s="721"/>
    </row>
    <row r="31" spans="2:4" s="247" customFormat="1" ht="24.75" customHeight="1" thickBot="1" x14ac:dyDescent="0.25">
      <c r="B31" s="167" t="s">
        <v>843</v>
      </c>
      <c r="C31" s="558" t="s">
        <v>896</v>
      </c>
      <c r="D31" s="559" t="s">
        <v>844</v>
      </c>
    </row>
    <row r="32" spans="2:4" s="247" customFormat="1" ht="24.75" customHeight="1" thickBot="1" x14ac:dyDescent="0.25">
      <c r="B32" s="719" t="s">
        <v>214</v>
      </c>
      <c r="C32" s="725"/>
      <c r="D32" s="726"/>
    </row>
    <row r="33" spans="2:4" s="247" customFormat="1" ht="24.75" customHeight="1" thickBot="1" x14ac:dyDescent="0.25">
      <c r="B33" s="560" t="s">
        <v>895</v>
      </c>
      <c r="C33" s="561" t="s">
        <v>896</v>
      </c>
      <c r="D33" s="562">
        <v>130</v>
      </c>
    </row>
    <row r="34" spans="2:4" s="247" customFormat="1" ht="24.75" customHeight="1" thickBot="1" x14ac:dyDescent="0.25">
      <c r="B34" s="719" t="s">
        <v>238</v>
      </c>
      <c r="C34" s="720"/>
      <c r="D34" s="721"/>
    </row>
    <row r="35" spans="2:4" s="247" customFormat="1" ht="24.75" customHeight="1" thickBot="1" x14ac:dyDescent="0.25">
      <c r="B35" s="563" t="s">
        <v>897</v>
      </c>
      <c r="C35" s="558" t="s">
        <v>896</v>
      </c>
      <c r="D35" s="287">
        <v>75</v>
      </c>
    </row>
    <row r="36" spans="2:4" s="247" customFormat="1" ht="24.75" customHeight="1" thickBot="1" x14ac:dyDescent="0.25">
      <c r="B36" s="719" t="s">
        <v>845</v>
      </c>
      <c r="C36" s="720"/>
      <c r="D36" s="721"/>
    </row>
    <row r="37" spans="2:4" s="247" customFormat="1" ht="24.75" customHeight="1" x14ac:dyDescent="0.2">
      <c r="B37" s="193" t="s">
        <v>846</v>
      </c>
      <c r="C37" s="564" t="s">
        <v>840</v>
      </c>
      <c r="D37" s="193" t="s">
        <v>847</v>
      </c>
    </row>
    <row r="38" spans="2:4" s="247" customFormat="1" ht="24.75" customHeight="1" x14ac:dyDescent="0.2">
      <c r="B38" s="196" t="s">
        <v>852</v>
      </c>
      <c r="C38" s="565" t="s">
        <v>840</v>
      </c>
      <c r="D38" s="196" t="s">
        <v>853</v>
      </c>
    </row>
    <row r="39" spans="2:4" s="247" customFormat="1" ht="24.75" customHeight="1" thickBot="1" x14ac:dyDescent="0.25">
      <c r="B39" s="297" t="s">
        <v>854</v>
      </c>
      <c r="C39" s="566" t="s">
        <v>840</v>
      </c>
      <c r="D39" s="297" t="s">
        <v>855</v>
      </c>
    </row>
    <row r="40" spans="2:4" s="247" customFormat="1" ht="24.75" customHeight="1" thickBot="1" x14ac:dyDescent="0.25">
      <c r="B40" s="719" t="s">
        <v>856</v>
      </c>
      <c r="C40" s="720"/>
      <c r="D40" s="721"/>
    </row>
    <row r="41" spans="2:4" s="247" customFormat="1" ht="24.75" customHeight="1" x14ac:dyDescent="0.2">
      <c r="B41" s="193" t="s">
        <v>857</v>
      </c>
      <c r="C41" s="564" t="s">
        <v>858</v>
      </c>
      <c r="D41" s="567" t="s">
        <v>841</v>
      </c>
    </row>
    <row r="42" spans="2:4" s="247" customFormat="1" ht="24.75" customHeight="1" x14ac:dyDescent="0.2">
      <c r="B42" s="196" t="s">
        <v>846</v>
      </c>
      <c r="C42" s="565" t="s">
        <v>858</v>
      </c>
      <c r="D42" s="568" t="s">
        <v>860</v>
      </c>
    </row>
    <row r="43" spans="2:4" s="247" customFormat="1" ht="24.75" customHeight="1" x14ac:dyDescent="0.2">
      <c r="B43" s="196" t="s">
        <v>848</v>
      </c>
      <c r="C43" s="565" t="s">
        <v>858</v>
      </c>
      <c r="D43" s="568" t="s">
        <v>861</v>
      </c>
    </row>
    <row r="44" spans="2:4" s="247" customFormat="1" ht="24.75" customHeight="1" x14ac:dyDescent="0.2">
      <c r="B44" s="196" t="s">
        <v>851</v>
      </c>
      <c r="C44" s="565" t="s">
        <v>858</v>
      </c>
      <c r="D44" s="568" t="s">
        <v>893</v>
      </c>
    </row>
    <row r="45" spans="2:4" s="247" customFormat="1" ht="24.75" customHeight="1" x14ac:dyDescent="0.2">
      <c r="B45" s="196" t="s">
        <v>862</v>
      </c>
      <c r="C45" s="565" t="s">
        <v>858</v>
      </c>
      <c r="D45" s="568" t="s">
        <v>892</v>
      </c>
    </row>
    <row r="46" spans="2:4" s="247" customFormat="1" ht="24.75" customHeight="1" thickBot="1" x14ac:dyDescent="0.25">
      <c r="B46" s="215" t="s">
        <v>854</v>
      </c>
      <c r="C46" s="569" t="s">
        <v>858</v>
      </c>
      <c r="D46" s="570" t="s">
        <v>894</v>
      </c>
    </row>
    <row r="47" spans="2:4" s="247" customFormat="1" ht="24.75" customHeight="1" thickBot="1" x14ac:dyDescent="0.25">
      <c r="B47" s="733" t="s">
        <v>863</v>
      </c>
      <c r="C47" s="734"/>
      <c r="D47" s="735"/>
    </row>
    <row r="48" spans="2:4" s="247" customFormat="1" ht="24.75" customHeight="1" x14ac:dyDescent="0.2">
      <c r="B48" s="369" t="s">
        <v>848</v>
      </c>
      <c r="C48" s="35" t="s">
        <v>859</v>
      </c>
      <c r="D48" s="367" t="s">
        <v>864</v>
      </c>
    </row>
    <row r="49" spans="2:4" s="247" customFormat="1" ht="24.75" customHeight="1" thickBot="1" x14ac:dyDescent="0.25">
      <c r="B49" s="368" t="s">
        <v>852</v>
      </c>
      <c r="C49" s="35" t="s">
        <v>859</v>
      </c>
      <c r="D49" s="119" t="s">
        <v>865</v>
      </c>
    </row>
    <row r="50" spans="2:4" s="247" customFormat="1" ht="24.75" customHeight="1" thickBot="1" x14ac:dyDescent="0.25">
      <c r="B50" s="719" t="s">
        <v>866</v>
      </c>
      <c r="C50" s="720"/>
      <c r="D50" s="721"/>
    </row>
    <row r="51" spans="2:4" s="247" customFormat="1" ht="24.75" customHeight="1" thickBot="1" x14ac:dyDescent="0.25">
      <c r="B51" s="365" t="s">
        <v>867</v>
      </c>
      <c r="C51" s="364" t="s">
        <v>840</v>
      </c>
      <c r="D51" s="363" t="s">
        <v>868</v>
      </c>
    </row>
    <row r="52" spans="2:4" s="247" customFormat="1" ht="24.75" customHeight="1" thickBot="1" x14ac:dyDescent="0.25">
      <c r="B52" s="719" t="s">
        <v>869</v>
      </c>
      <c r="C52" s="720"/>
      <c r="D52" s="721"/>
    </row>
    <row r="53" spans="2:4" s="247" customFormat="1" ht="24.75" customHeight="1" x14ac:dyDescent="0.2">
      <c r="B53" s="368" t="s">
        <v>35</v>
      </c>
      <c r="C53" s="35" t="s">
        <v>870</v>
      </c>
      <c r="D53" s="119" t="s">
        <v>871</v>
      </c>
    </row>
    <row r="54" spans="2:4" s="247" customFormat="1" ht="24.75" customHeight="1" x14ac:dyDescent="0.2">
      <c r="B54" s="368" t="s">
        <v>872</v>
      </c>
      <c r="C54" s="35" t="s">
        <v>850</v>
      </c>
      <c r="D54" s="119" t="s">
        <v>874</v>
      </c>
    </row>
    <row r="55" spans="2:4" s="247" customFormat="1" ht="24.75" customHeight="1" thickBot="1" x14ac:dyDescent="0.25">
      <c r="B55" s="366" t="s">
        <v>873</v>
      </c>
      <c r="C55" s="125" t="s">
        <v>850</v>
      </c>
      <c r="D55" s="224" t="s">
        <v>875</v>
      </c>
    </row>
    <row r="56" spans="2:4" s="247" customFormat="1" ht="24.75" customHeight="1" thickBot="1" x14ac:dyDescent="0.25">
      <c r="B56" s="719" t="s">
        <v>889</v>
      </c>
      <c r="C56" s="720"/>
      <c r="D56" s="721"/>
    </row>
    <row r="57" spans="2:4" s="247" customFormat="1" ht="24.75" customHeight="1" x14ac:dyDescent="0.2">
      <c r="B57" s="203" t="s">
        <v>813</v>
      </c>
      <c r="C57" s="193" t="s">
        <v>849</v>
      </c>
      <c r="D57" s="265" t="s">
        <v>884</v>
      </c>
    </row>
    <row r="58" spans="2:4" s="247" customFormat="1" ht="24.75" customHeight="1" x14ac:dyDescent="0.2">
      <c r="B58" s="184" t="s">
        <v>663</v>
      </c>
      <c r="C58" s="35" t="s">
        <v>876</v>
      </c>
      <c r="D58" s="575" t="s">
        <v>877</v>
      </c>
    </row>
    <row r="59" spans="2:4" s="247" customFormat="1" ht="24.75" customHeight="1" x14ac:dyDescent="0.2">
      <c r="B59" s="184" t="s">
        <v>878</v>
      </c>
      <c r="C59" s="35" t="s">
        <v>876</v>
      </c>
      <c r="D59" s="575" t="s">
        <v>881</v>
      </c>
    </row>
    <row r="60" spans="2:4" s="247" customFormat="1" ht="24.75" customHeight="1" x14ac:dyDescent="0.2">
      <c r="B60" s="184" t="s">
        <v>879</v>
      </c>
      <c r="C60" s="35" t="s">
        <v>876</v>
      </c>
      <c r="D60" s="575" t="s">
        <v>882</v>
      </c>
    </row>
    <row r="61" spans="2:4" s="247" customFormat="1" ht="24.75" customHeight="1" thickBot="1" x14ac:dyDescent="0.25">
      <c r="B61" s="167" t="s">
        <v>880</v>
      </c>
      <c r="C61" s="125" t="s">
        <v>876</v>
      </c>
      <c r="D61" s="579" t="s">
        <v>883</v>
      </c>
    </row>
    <row r="62" spans="2:4" s="247" customFormat="1" ht="24.75" customHeight="1" thickBot="1" x14ac:dyDescent="0.25">
      <c r="B62" s="719" t="s">
        <v>888</v>
      </c>
      <c r="C62" s="720"/>
      <c r="D62" s="721"/>
    </row>
    <row r="63" spans="2:4" s="247" customFormat="1" ht="24.75" customHeight="1" x14ac:dyDescent="0.2">
      <c r="B63" s="203" t="s">
        <v>885</v>
      </c>
      <c r="C63" s="373" t="s">
        <v>850</v>
      </c>
      <c r="D63" s="590" t="s">
        <v>886</v>
      </c>
    </row>
    <row r="64" spans="2:4" s="247" customFormat="1" ht="24.75" customHeight="1" thickBot="1" x14ac:dyDescent="0.25">
      <c r="B64" s="167" t="s">
        <v>27</v>
      </c>
      <c r="C64" s="125" t="s">
        <v>850</v>
      </c>
      <c r="D64" s="579" t="s">
        <v>887</v>
      </c>
    </row>
    <row r="65" spans="2:4" s="247" customFormat="1" ht="24.75" customHeight="1" thickBot="1" x14ac:dyDescent="0.25">
      <c r="B65" s="719" t="s">
        <v>31</v>
      </c>
      <c r="C65" s="725"/>
      <c r="D65" s="726"/>
    </row>
    <row r="66" spans="2:4" s="247" customFormat="1" ht="24.75" customHeight="1" x14ac:dyDescent="0.2">
      <c r="B66" s="203" t="s">
        <v>116</v>
      </c>
      <c r="C66" s="373" t="s">
        <v>840</v>
      </c>
      <c r="D66" s="590" t="s">
        <v>836</v>
      </c>
    </row>
    <row r="67" spans="2:4" s="247" customFormat="1" ht="22.5" customHeight="1" thickBot="1" x14ac:dyDescent="0.25">
      <c r="B67" s="167" t="s">
        <v>811</v>
      </c>
      <c r="C67" s="125">
        <v>30000</v>
      </c>
      <c r="D67" s="579">
        <v>386</v>
      </c>
    </row>
    <row r="68" spans="2:4" s="247" customFormat="1" ht="22.5" customHeight="1" x14ac:dyDescent="0.2">
      <c r="B68" s="727" t="s">
        <v>1012</v>
      </c>
      <c r="C68" s="728"/>
      <c r="D68" s="729"/>
    </row>
    <row r="69" spans="2:4" s="247" customFormat="1" ht="26.25" customHeight="1" thickBot="1" x14ac:dyDescent="0.25">
      <c r="B69" s="730"/>
      <c r="C69" s="731"/>
      <c r="D69" s="732"/>
    </row>
    <row r="70" spans="2:4" s="247" customFormat="1" ht="30.6" customHeight="1" x14ac:dyDescent="0.2">
      <c r="B70" s="589"/>
      <c r="C70" s="591"/>
      <c r="D70" s="592"/>
    </row>
    <row r="71" spans="2:4" s="247" customFormat="1" ht="18.600000000000001" customHeight="1" x14ac:dyDescent="0.2">
      <c r="B71" s="249"/>
      <c r="C71" s="249"/>
      <c r="D71" s="250"/>
    </row>
    <row r="72" spans="2:4" s="247" customFormat="1" ht="31.15" customHeight="1" x14ac:dyDescent="0.2">
      <c r="B72" s="249"/>
      <c r="C72" s="249"/>
      <c r="D72" s="250"/>
    </row>
    <row r="73" spans="2:4" s="247" customFormat="1" ht="33.6" customHeight="1" x14ac:dyDescent="0.2">
      <c r="B73" s="249"/>
      <c r="C73" s="249"/>
      <c r="D73" s="250"/>
    </row>
    <row r="74" spans="2:4" s="247" customFormat="1" ht="19.149999999999999" customHeight="1" x14ac:dyDescent="0.2">
      <c r="B74" s="249"/>
      <c r="C74" s="249"/>
      <c r="D74" s="250"/>
    </row>
    <row r="75" spans="2:4" ht="15" customHeight="1" x14ac:dyDescent="0.2"/>
    <row r="76" spans="2:4" s="131" customFormat="1" ht="79.150000000000006" customHeight="1" x14ac:dyDescent="0.35">
      <c r="B76" s="249"/>
      <c r="C76" s="249"/>
      <c r="D76" s="250"/>
    </row>
    <row r="77" spans="2:4" ht="31.9" customHeight="1" x14ac:dyDescent="0.2"/>
    <row r="78" spans="2:4" ht="31.9" customHeight="1" x14ac:dyDescent="0.2"/>
    <row r="79" spans="2:4" ht="31.9" customHeight="1" x14ac:dyDescent="0.2"/>
  </sheetData>
  <mergeCells count="26">
    <mergeCell ref="B68:D69"/>
    <mergeCell ref="B36:D36"/>
    <mergeCell ref="B62:D62"/>
    <mergeCell ref="B65:D65"/>
    <mergeCell ref="B40:D40"/>
    <mergeCell ref="B47:D47"/>
    <mergeCell ref="B50:D50"/>
    <mergeCell ref="B52:D52"/>
    <mergeCell ref="B56:D56"/>
    <mergeCell ref="B34:D34"/>
    <mergeCell ref="B16:D16"/>
    <mergeCell ref="B22:D22"/>
    <mergeCell ref="B30:D30"/>
    <mergeCell ref="B26:D26"/>
    <mergeCell ref="B32:D32"/>
    <mergeCell ref="B1:D1"/>
    <mergeCell ref="B2:D2"/>
    <mergeCell ref="B3:D3"/>
    <mergeCell ref="B4:D4"/>
    <mergeCell ref="B5:D5"/>
    <mergeCell ref="B12:D12"/>
    <mergeCell ref="B14:D14"/>
    <mergeCell ref="B6:D6"/>
    <mergeCell ref="B8:D8"/>
    <mergeCell ref="B7:E7"/>
    <mergeCell ref="B9:D9"/>
  </mergeCells>
  <pageMargins left="0.35399999999999998" right="0.23599999999999999" top="0.157" bottom="0.157" header="0.19700000000000001" footer="0.157"/>
  <pageSetup paperSize="9" scale="96" fitToHeight="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9"/>
  <sheetViews>
    <sheetView workbookViewId="0">
      <selection activeCell="A8" sqref="A8:E8"/>
    </sheetView>
  </sheetViews>
  <sheetFormatPr defaultColWidth="10" defaultRowHeight="15.75" x14ac:dyDescent="0.25"/>
  <cols>
    <col min="1" max="1" width="84.28515625" style="429" customWidth="1"/>
    <col min="2" max="2" width="6.7109375" style="430" customWidth="1"/>
    <col min="3" max="3" width="8.28515625" style="430" customWidth="1"/>
    <col min="4" max="4" width="9" style="429" customWidth="1"/>
    <col min="5" max="5" width="14.28515625" style="430" customWidth="1"/>
  </cols>
  <sheetData>
    <row r="1" spans="1:5" x14ac:dyDescent="0.25">
      <c r="A1" s="817" t="s">
        <v>0</v>
      </c>
      <c r="B1" s="817"/>
      <c r="C1" s="817"/>
      <c r="D1" s="817"/>
      <c r="E1" s="817"/>
    </row>
    <row r="2" spans="1:5" x14ac:dyDescent="0.25">
      <c r="A2" s="817" t="s">
        <v>1</v>
      </c>
      <c r="B2" s="817"/>
      <c r="C2" s="817"/>
      <c r="D2" s="817"/>
      <c r="E2" s="817"/>
    </row>
    <row r="3" spans="1:5" x14ac:dyDescent="0.25">
      <c r="A3" s="817" t="s">
        <v>102</v>
      </c>
      <c r="B3" s="817"/>
      <c r="C3" s="817"/>
      <c r="D3" s="817"/>
      <c r="E3" s="817"/>
    </row>
    <row r="4" spans="1:5" x14ac:dyDescent="0.25">
      <c r="A4" s="817" t="s">
        <v>920</v>
      </c>
      <c r="B4" s="817"/>
      <c r="C4" s="817"/>
      <c r="D4" s="817"/>
      <c r="E4" s="817"/>
    </row>
    <row r="5" spans="1:5" x14ac:dyDescent="0.25">
      <c r="A5" s="817" t="s">
        <v>1105</v>
      </c>
      <c r="B5" s="817"/>
      <c r="C5" s="817"/>
      <c r="D5" s="817"/>
      <c r="E5" s="817"/>
    </row>
    <row r="6" spans="1:5" x14ac:dyDescent="0.25">
      <c r="A6" s="817" t="s">
        <v>37</v>
      </c>
      <c r="B6" s="817"/>
      <c r="C6" s="817"/>
      <c r="D6" s="817"/>
      <c r="E6" s="817"/>
    </row>
    <row r="7" spans="1:5" x14ac:dyDescent="0.25">
      <c r="A7" s="740" t="s">
        <v>1095</v>
      </c>
      <c r="B7" s="740"/>
      <c r="C7" s="740"/>
      <c r="D7" s="740"/>
      <c r="E7" s="740"/>
    </row>
    <row r="8" spans="1:5" ht="45.75" customHeight="1" thickBot="1" x14ac:dyDescent="0.3">
      <c r="A8" s="828" t="s">
        <v>1096</v>
      </c>
      <c r="B8" s="828"/>
      <c r="C8" s="828"/>
      <c r="D8" s="828"/>
      <c r="E8" s="828"/>
    </row>
    <row r="9" spans="1:5" ht="19.5" thickBot="1" x14ac:dyDescent="0.25">
      <c r="A9" s="455" t="s">
        <v>5</v>
      </c>
      <c r="B9" s="820" t="s">
        <v>973</v>
      </c>
      <c r="C9" s="821"/>
      <c r="D9" s="455" t="s">
        <v>974</v>
      </c>
      <c r="E9" s="455" t="s">
        <v>982</v>
      </c>
    </row>
    <row r="10" spans="1:5" ht="19.5" thickBot="1" x14ac:dyDescent="0.25">
      <c r="A10" s="765" t="s">
        <v>991</v>
      </c>
      <c r="B10" s="766"/>
      <c r="C10" s="766"/>
      <c r="D10" s="766"/>
      <c r="E10" s="767"/>
    </row>
    <row r="11" spans="1:5" x14ac:dyDescent="0.25">
      <c r="A11" s="437" t="s">
        <v>935</v>
      </c>
      <c r="B11" s="439" t="s">
        <v>936</v>
      </c>
      <c r="C11" s="441" t="s">
        <v>937</v>
      </c>
      <c r="D11" s="443">
        <v>7070</v>
      </c>
      <c r="E11" s="546" t="s">
        <v>983</v>
      </c>
    </row>
    <row r="12" spans="1:5" x14ac:dyDescent="0.25">
      <c r="A12" s="438" t="s">
        <v>938</v>
      </c>
      <c r="B12" s="440" t="s">
        <v>936</v>
      </c>
      <c r="C12" s="442" t="s">
        <v>937</v>
      </c>
      <c r="D12" s="444">
        <v>4620</v>
      </c>
      <c r="E12" s="547" t="s">
        <v>983</v>
      </c>
    </row>
    <row r="13" spans="1:5" x14ac:dyDescent="0.25">
      <c r="A13" s="819" t="s">
        <v>959</v>
      </c>
      <c r="B13" s="702" t="s">
        <v>936</v>
      </c>
      <c r="C13" s="691" t="s">
        <v>937</v>
      </c>
      <c r="D13" s="703">
        <v>4400</v>
      </c>
      <c r="E13" s="548" t="s">
        <v>934</v>
      </c>
    </row>
    <row r="14" spans="1:5" x14ac:dyDescent="0.25">
      <c r="A14" s="819"/>
      <c r="B14" s="702" t="s">
        <v>936</v>
      </c>
      <c r="C14" s="691" t="s">
        <v>940</v>
      </c>
      <c r="D14" s="703">
        <v>2400</v>
      </c>
      <c r="E14" s="548" t="s">
        <v>934</v>
      </c>
    </row>
    <row r="15" spans="1:5" x14ac:dyDescent="0.25">
      <c r="A15" s="438" t="s">
        <v>975</v>
      </c>
      <c r="B15" s="440" t="s">
        <v>961</v>
      </c>
      <c r="C15" s="442" t="s">
        <v>937</v>
      </c>
      <c r="D15" s="444">
        <v>12460</v>
      </c>
      <c r="E15" s="547" t="s">
        <v>983</v>
      </c>
    </row>
    <row r="16" spans="1:5" x14ac:dyDescent="0.25">
      <c r="A16" s="818" t="s">
        <v>939</v>
      </c>
      <c r="B16" s="440" t="s">
        <v>936</v>
      </c>
      <c r="C16" s="442" t="s">
        <v>937</v>
      </c>
      <c r="D16" s="444">
        <v>6720</v>
      </c>
      <c r="E16" s="547" t="s">
        <v>983</v>
      </c>
    </row>
    <row r="17" spans="1:5" x14ac:dyDescent="0.25">
      <c r="A17" s="818"/>
      <c r="B17" s="440" t="s">
        <v>936</v>
      </c>
      <c r="C17" s="442" t="s">
        <v>940</v>
      </c>
      <c r="D17" s="444">
        <v>3430</v>
      </c>
      <c r="E17" s="547" t="s">
        <v>983</v>
      </c>
    </row>
    <row r="18" spans="1:5" x14ac:dyDescent="0.25">
      <c r="A18" s="818" t="s">
        <v>941</v>
      </c>
      <c r="B18" s="440" t="s">
        <v>936</v>
      </c>
      <c r="C18" s="442" t="s">
        <v>937</v>
      </c>
      <c r="D18" s="444">
        <v>10360</v>
      </c>
      <c r="E18" s="547" t="s">
        <v>983</v>
      </c>
    </row>
    <row r="19" spans="1:5" x14ac:dyDescent="0.25">
      <c r="A19" s="818"/>
      <c r="B19" s="440" t="s">
        <v>936</v>
      </c>
      <c r="C19" s="442" t="s">
        <v>940</v>
      </c>
      <c r="D19" s="444">
        <v>5180</v>
      </c>
      <c r="E19" s="547" t="s">
        <v>983</v>
      </c>
    </row>
    <row r="20" spans="1:5" x14ac:dyDescent="0.25">
      <c r="A20" s="818" t="s">
        <v>943</v>
      </c>
      <c r="B20" s="440" t="s">
        <v>936</v>
      </c>
      <c r="C20" s="442" t="s">
        <v>937</v>
      </c>
      <c r="D20" s="444">
        <v>11309</v>
      </c>
      <c r="E20" s="547" t="s">
        <v>983</v>
      </c>
    </row>
    <row r="21" spans="1:5" x14ac:dyDescent="0.25">
      <c r="A21" s="818"/>
      <c r="B21" s="440" t="s">
        <v>936</v>
      </c>
      <c r="C21" s="442" t="s">
        <v>940</v>
      </c>
      <c r="D21" s="444">
        <v>5670</v>
      </c>
      <c r="E21" s="547" t="s">
        <v>983</v>
      </c>
    </row>
    <row r="22" spans="1:5" x14ac:dyDescent="0.25">
      <c r="A22" s="438" t="s">
        <v>942</v>
      </c>
      <c r="B22" s="440" t="s">
        <v>936</v>
      </c>
      <c r="C22" s="442" t="s">
        <v>937</v>
      </c>
      <c r="D22" s="444">
        <v>9520</v>
      </c>
      <c r="E22" s="547" t="s">
        <v>983</v>
      </c>
    </row>
    <row r="23" spans="1:5" x14ac:dyDescent="0.25">
      <c r="A23" s="438" t="s">
        <v>944</v>
      </c>
      <c r="B23" s="440" t="s">
        <v>936</v>
      </c>
      <c r="C23" s="442" t="s">
        <v>937</v>
      </c>
      <c r="D23" s="444">
        <v>7560</v>
      </c>
      <c r="E23" s="547" t="s">
        <v>983</v>
      </c>
    </row>
    <row r="24" spans="1:5" x14ac:dyDescent="0.25">
      <c r="A24" s="438" t="s">
        <v>945</v>
      </c>
      <c r="B24" s="440" t="s">
        <v>936</v>
      </c>
      <c r="C24" s="442" t="s">
        <v>937</v>
      </c>
      <c r="D24" s="444">
        <v>3360</v>
      </c>
      <c r="E24" s="547" t="s">
        <v>983</v>
      </c>
    </row>
    <row r="25" spans="1:5" x14ac:dyDescent="0.25">
      <c r="A25" s="819" t="s">
        <v>946</v>
      </c>
      <c r="B25" s="702" t="s">
        <v>936</v>
      </c>
      <c r="C25" s="691" t="s">
        <v>937</v>
      </c>
      <c r="D25" s="703">
        <v>3000</v>
      </c>
      <c r="E25" s="548" t="s">
        <v>934</v>
      </c>
    </row>
    <row r="26" spans="1:5" x14ac:dyDescent="0.25">
      <c r="A26" s="819"/>
      <c r="B26" s="702" t="s">
        <v>936</v>
      </c>
      <c r="C26" s="691" t="s">
        <v>940</v>
      </c>
      <c r="D26" s="703">
        <v>1600</v>
      </c>
      <c r="E26" s="548" t="s">
        <v>934</v>
      </c>
    </row>
    <row r="27" spans="1:5" x14ac:dyDescent="0.25">
      <c r="A27" s="818" t="s">
        <v>960</v>
      </c>
      <c r="B27" s="440" t="s">
        <v>936</v>
      </c>
      <c r="C27" s="442" t="s">
        <v>937</v>
      </c>
      <c r="D27" s="444">
        <v>4690</v>
      </c>
      <c r="E27" s="547" t="s">
        <v>983</v>
      </c>
    </row>
    <row r="28" spans="1:5" x14ac:dyDescent="0.25">
      <c r="A28" s="818"/>
      <c r="B28" s="440" t="s">
        <v>936</v>
      </c>
      <c r="C28" s="442" t="s">
        <v>940</v>
      </c>
      <c r="D28" s="444">
        <v>2380</v>
      </c>
      <c r="E28" s="547" t="s">
        <v>983</v>
      </c>
    </row>
    <row r="29" spans="1:5" x14ac:dyDescent="0.25">
      <c r="A29" s="438" t="s">
        <v>947</v>
      </c>
      <c r="B29" s="440" t="s">
        <v>936</v>
      </c>
      <c r="C29" s="442" t="s">
        <v>937</v>
      </c>
      <c r="D29" s="444">
        <v>4550</v>
      </c>
      <c r="E29" s="547" t="s">
        <v>983</v>
      </c>
    </row>
    <row r="30" spans="1:5" x14ac:dyDescent="0.25">
      <c r="A30" s="819" t="s">
        <v>948</v>
      </c>
      <c r="B30" s="702" t="s">
        <v>936</v>
      </c>
      <c r="C30" s="691" t="s">
        <v>937</v>
      </c>
      <c r="D30" s="703">
        <v>4200</v>
      </c>
      <c r="E30" s="548" t="s">
        <v>934</v>
      </c>
    </row>
    <row r="31" spans="1:5" x14ac:dyDescent="0.25">
      <c r="A31" s="819"/>
      <c r="B31" s="702" t="s">
        <v>936</v>
      </c>
      <c r="C31" s="691" t="s">
        <v>940</v>
      </c>
      <c r="D31" s="703">
        <v>2200</v>
      </c>
      <c r="E31" s="548" t="s">
        <v>934</v>
      </c>
    </row>
    <row r="32" spans="1:5" x14ac:dyDescent="0.25">
      <c r="A32" s="438" t="s">
        <v>949</v>
      </c>
      <c r="B32" s="440" t="s">
        <v>936</v>
      </c>
      <c r="C32" s="442" t="s">
        <v>937</v>
      </c>
      <c r="D32" s="444">
        <v>4760</v>
      </c>
      <c r="E32" s="547" t="s">
        <v>983</v>
      </c>
    </row>
    <row r="33" spans="1:5" x14ac:dyDescent="0.25">
      <c r="A33" s="692" t="s">
        <v>951</v>
      </c>
      <c r="B33" s="702" t="s">
        <v>950</v>
      </c>
      <c r="C33" s="691" t="s">
        <v>940</v>
      </c>
      <c r="D33" s="703">
        <v>3400</v>
      </c>
      <c r="E33" s="548" t="s">
        <v>934</v>
      </c>
    </row>
    <row r="34" spans="1:5" x14ac:dyDescent="0.25">
      <c r="A34" s="438" t="s">
        <v>952</v>
      </c>
      <c r="B34" s="440" t="s">
        <v>950</v>
      </c>
      <c r="C34" s="442" t="s">
        <v>937</v>
      </c>
      <c r="D34" s="444">
        <v>9030</v>
      </c>
      <c r="E34" s="547" t="s">
        <v>983</v>
      </c>
    </row>
    <row r="35" spans="1:5" x14ac:dyDescent="0.25">
      <c r="A35" s="438" t="s">
        <v>953</v>
      </c>
      <c r="B35" s="440" t="s">
        <v>950</v>
      </c>
      <c r="C35" s="442" t="s">
        <v>937</v>
      </c>
      <c r="D35" s="444">
        <v>5950</v>
      </c>
      <c r="E35" s="547" t="s">
        <v>983</v>
      </c>
    </row>
    <row r="36" spans="1:5" x14ac:dyDescent="0.25">
      <c r="A36" s="438" t="s">
        <v>955</v>
      </c>
      <c r="B36" s="440" t="s">
        <v>950</v>
      </c>
      <c r="C36" s="442" t="s">
        <v>954</v>
      </c>
      <c r="D36" s="444">
        <v>4860</v>
      </c>
      <c r="E36" s="547" t="s">
        <v>983</v>
      </c>
    </row>
    <row r="37" spans="1:5" x14ac:dyDescent="0.25">
      <c r="A37" s="438" t="s">
        <v>956</v>
      </c>
      <c r="B37" s="440" t="s">
        <v>950</v>
      </c>
      <c r="C37" s="442" t="s">
        <v>937</v>
      </c>
      <c r="D37" s="444">
        <v>9520</v>
      </c>
      <c r="E37" s="547" t="s">
        <v>983</v>
      </c>
    </row>
    <row r="38" spans="1:5" x14ac:dyDescent="0.25">
      <c r="A38" s="438" t="s">
        <v>957</v>
      </c>
      <c r="B38" s="440" t="s">
        <v>936</v>
      </c>
      <c r="C38" s="442" t="s">
        <v>937</v>
      </c>
      <c r="D38" s="444">
        <v>4900</v>
      </c>
      <c r="E38" s="547" t="s">
        <v>983</v>
      </c>
    </row>
    <row r="39" spans="1:5" ht="16.5" thickBot="1" x14ac:dyDescent="0.3">
      <c r="A39" s="445" t="s">
        <v>958</v>
      </c>
      <c r="B39" s="446" t="s">
        <v>936</v>
      </c>
      <c r="C39" s="447" t="s">
        <v>937</v>
      </c>
      <c r="D39" s="448">
        <v>4690</v>
      </c>
      <c r="E39" s="549" t="s">
        <v>983</v>
      </c>
    </row>
    <row r="40" spans="1:5" ht="19.5" thickBot="1" x14ac:dyDescent="0.35">
      <c r="A40" s="825" t="s">
        <v>992</v>
      </c>
      <c r="B40" s="826"/>
      <c r="C40" s="826"/>
      <c r="D40" s="826"/>
      <c r="E40" s="827"/>
    </row>
    <row r="41" spans="1:5" x14ac:dyDescent="0.25">
      <c r="A41" s="693" t="s">
        <v>979</v>
      </c>
      <c r="B41" s="699" t="s">
        <v>962</v>
      </c>
      <c r="C41" s="699" t="s">
        <v>963</v>
      </c>
      <c r="D41" s="704">
        <v>2100</v>
      </c>
      <c r="E41" s="548" t="s">
        <v>934</v>
      </c>
    </row>
    <row r="42" spans="1:5" x14ac:dyDescent="0.25">
      <c r="A42" s="694" t="s">
        <v>1110</v>
      </c>
      <c r="B42" s="701" t="s">
        <v>1111</v>
      </c>
      <c r="C42" s="701" t="s">
        <v>965</v>
      </c>
      <c r="D42" s="705">
        <v>230</v>
      </c>
      <c r="E42" s="548" t="s">
        <v>934</v>
      </c>
    </row>
    <row r="43" spans="1:5" x14ac:dyDescent="0.25">
      <c r="A43" s="693" t="s">
        <v>1112</v>
      </c>
      <c r="B43" s="699" t="s">
        <v>962</v>
      </c>
      <c r="C43" s="699" t="s">
        <v>965</v>
      </c>
      <c r="D43" s="704">
        <v>1000</v>
      </c>
      <c r="E43" s="548" t="s">
        <v>934</v>
      </c>
    </row>
    <row r="44" spans="1:5" x14ac:dyDescent="0.25">
      <c r="A44" s="650" t="s">
        <v>977</v>
      </c>
      <c r="B44" s="651" t="s">
        <v>962</v>
      </c>
      <c r="C44" s="651" t="s">
        <v>963</v>
      </c>
      <c r="D44" s="652">
        <v>869</v>
      </c>
      <c r="E44" s="605" t="s">
        <v>983</v>
      </c>
    </row>
    <row r="45" spans="1:5" x14ac:dyDescent="0.25">
      <c r="A45" s="453" t="s">
        <v>976</v>
      </c>
      <c r="B45" s="451" t="s">
        <v>962</v>
      </c>
      <c r="C45" s="451" t="s">
        <v>964</v>
      </c>
      <c r="D45" s="449">
        <v>621</v>
      </c>
      <c r="E45" s="547" t="s">
        <v>983</v>
      </c>
    </row>
    <row r="46" spans="1:5" x14ac:dyDescent="0.25">
      <c r="A46" s="453" t="s">
        <v>966</v>
      </c>
      <c r="B46" s="451" t="s">
        <v>962</v>
      </c>
      <c r="C46" s="451" t="s">
        <v>965</v>
      </c>
      <c r="D46" s="449">
        <v>296</v>
      </c>
      <c r="E46" s="547" t="s">
        <v>983</v>
      </c>
    </row>
    <row r="47" spans="1:5" x14ac:dyDescent="0.25">
      <c r="A47" s="453" t="s">
        <v>967</v>
      </c>
      <c r="B47" s="451" t="s">
        <v>968</v>
      </c>
      <c r="C47" s="451" t="s">
        <v>965</v>
      </c>
      <c r="D47" s="449">
        <v>885</v>
      </c>
      <c r="E47" s="547" t="s">
        <v>983</v>
      </c>
    </row>
    <row r="48" spans="1:5" x14ac:dyDescent="0.25">
      <c r="A48" s="453" t="s">
        <v>970</v>
      </c>
      <c r="B48" s="451" t="s">
        <v>969</v>
      </c>
      <c r="C48" s="451" t="s">
        <v>963</v>
      </c>
      <c r="D48" s="449">
        <v>1419</v>
      </c>
      <c r="E48" s="547" t="s">
        <v>983</v>
      </c>
    </row>
    <row r="49" spans="1:5" x14ac:dyDescent="0.25">
      <c r="A49" s="453" t="s">
        <v>980</v>
      </c>
      <c r="B49" s="451" t="s">
        <v>968</v>
      </c>
      <c r="C49" s="451" t="s">
        <v>971</v>
      </c>
      <c r="D49" s="449">
        <v>1326</v>
      </c>
      <c r="E49" s="547" t="s">
        <v>983</v>
      </c>
    </row>
    <row r="50" spans="1:5" x14ac:dyDescent="0.25">
      <c r="A50" s="453" t="s">
        <v>981</v>
      </c>
      <c r="B50" s="451" t="s">
        <v>962</v>
      </c>
      <c r="C50" s="451" t="s">
        <v>972</v>
      </c>
      <c r="D50" s="449">
        <v>621</v>
      </c>
      <c r="E50" s="547" t="s">
        <v>983</v>
      </c>
    </row>
    <row r="51" spans="1:5" ht="16.5" thickBot="1" x14ac:dyDescent="0.3">
      <c r="A51" s="454" t="s">
        <v>978</v>
      </c>
      <c r="B51" s="452" t="s">
        <v>962</v>
      </c>
      <c r="C51" s="452" t="s">
        <v>963</v>
      </c>
      <c r="D51" s="450">
        <v>1132</v>
      </c>
      <c r="E51" s="550" t="s">
        <v>983</v>
      </c>
    </row>
    <row r="52" spans="1:5" ht="72" customHeight="1" thickBot="1" x14ac:dyDescent="0.3">
      <c r="D52" s="431"/>
      <c r="E52" s="432"/>
    </row>
    <row r="53" spans="1:5" ht="18.75" customHeight="1" thickBot="1" x14ac:dyDescent="0.25">
      <c r="A53" s="456" t="s">
        <v>5</v>
      </c>
      <c r="B53" s="820" t="s">
        <v>973</v>
      </c>
      <c r="C53" s="821"/>
      <c r="D53" s="455" t="s">
        <v>974</v>
      </c>
      <c r="E53" s="457" t="s">
        <v>982</v>
      </c>
    </row>
    <row r="54" spans="1:5" ht="19.5" thickBot="1" x14ac:dyDescent="0.35">
      <c r="A54" s="822" t="s">
        <v>993</v>
      </c>
      <c r="B54" s="823"/>
      <c r="C54" s="823"/>
      <c r="D54" s="823"/>
      <c r="E54" s="824"/>
    </row>
    <row r="55" spans="1:5" x14ac:dyDescent="0.25">
      <c r="A55" s="695" t="s">
        <v>987</v>
      </c>
      <c r="B55" s="698" t="s">
        <v>936</v>
      </c>
      <c r="C55" s="698" t="s">
        <v>984</v>
      </c>
      <c r="D55" s="706">
        <v>1500</v>
      </c>
      <c r="E55" s="551" t="s">
        <v>934</v>
      </c>
    </row>
    <row r="56" spans="1:5" x14ac:dyDescent="0.25">
      <c r="A56" s="696" t="s">
        <v>988</v>
      </c>
      <c r="B56" s="699" t="s">
        <v>936</v>
      </c>
      <c r="C56" s="699" t="s">
        <v>984</v>
      </c>
      <c r="D56" s="704">
        <v>1100</v>
      </c>
      <c r="E56" s="548" t="s">
        <v>934</v>
      </c>
    </row>
    <row r="57" spans="1:5" x14ac:dyDescent="0.25">
      <c r="A57" s="696" t="s">
        <v>989</v>
      </c>
      <c r="B57" s="699" t="s">
        <v>985</v>
      </c>
      <c r="C57" s="699" t="s">
        <v>984</v>
      </c>
      <c r="D57" s="704">
        <v>1500</v>
      </c>
      <c r="E57" s="548" t="s">
        <v>934</v>
      </c>
    </row>
    <row r="58" spans="1:5" ht="15.75" customHeight="1" thickBot="1" x14ac:dyDescent="0.3">
      <c r="A58" s="697" t="s">
        <v>990</v>
      </c>
      <c r="B58" s="700" t="s">
        <v>985</v>
      </c>
      <c r="C58" s="700" t="s">
        <v>986</v>
      </c>
      <c r="D58" s="707">
        <v>1500</v>
      </c>
      <c r="E58" s="552" t="s">
        <v>934</v>
      </c>
    </row>
    <row r="59" spans="1:5" ht="15" thickBot="1" x14ac:dyDescent="0.25">
      <c r="A59" s="802" t="s">
        <v>655</v>
      </c>
      <c r="B59" s="803"/>
      <c r="C59" s="803"/>
      <c r="D59" s="803"/>
      <c r="E59" s="804"/>
    </row>
  </sheetData>
  <mergeCells count="21">
    <mergeCell ref="A1:E1"/>
    <mergeCell ref="A2:E2"/>
    <mergeCell ref="A3:E3"/>
    <mergeCell ref="A4:E4"/>
    <mergeCell ref="A5:E5"/>
    <mergeCell ref="A59:E59"/>
    <mergeCell ref="A6:E6"/>
    <mergeCell ref="A16:A17"/>
    <mergeCell ref="A18:A19"/>
    <mergeCell ref="A20:A21"/>
    <mergeCell ref="A25:A26"/>
    <mergeCell ref="B9:C9"/>
    <mergeCell ref="A13:A14"/>
    <mergeCell ref="A7:E7"/>
    <mergeCell ref="A54:E54"/>
    <mergeCell ref="A10:E10"/>
    <mergeCell ref="B53:C53"/>
    <mergeCell ref="A40:E40"/>
    <mergeCell ref="A8:E8"/>
    <mergeCell ref="A27:A28"/>
    <mergeCell ref="A30:A31"/>
  </mergeCells>
  <pageMargins left="0.21" right="0.27" top="0.28999999999999998" bottom="0.25" header="0.19" footer="0.17"/>
  <pageSetup paperSize="9" scale="8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26"/>
  <sheetViews>
    <sheetView topLeftCell="A7" workbookViewId="0">
      <selection activeCell="A10" sqref="A10:D10"/>
    </sheetView>
  </sheetViews>
  <sheetFormatPr defaultColWidth="9.140625" defaultRowHeight="20.25" x14ac:dyDescent="0.2"/>
  <cols>
    <col min="1" max="1" width="47.28515625" style="80" customWidth="1"/>
    <col min="2" max="2" width="26.42578125" style="14" customWidth="1"/>
    <col min="3" max="3" width="12.5703125" style="14" customWidth="1"/>
    <col min="4" max="4" width="16" style="24" customWidth="1"/>
    <col min="5" max="5" width="23.42578125" style="24" customWidth="1"/>
    <col min="6" max="6" width="18.42578125" style="24" customWidth="1"/>
    <col min="7" max="7" width="28" style="24" customWidth="1"/>
    <col min="8" max="16384" width="9.140625" style="24"/>
  </cols>
  <sheetData>
    <row r="1" spans="1:7" ht="18.600000000000001" customHeight="1" x14ac:dyDescent="0.2">
      <c r="A1" s="718" t="s">
        <v>0</v>
      </c>
      <c r="B1" s="718"/>
      <c r="C1" s="718"/>
      <c r="D1" s="718"/>
    </row>
    <row r="2" spans="1:7" ht="18.600000000000001" customHeight="1" x14ac:dyDescent="0.2">
      <c r="A2" s="718" t="s">
        <v>1</v>
      </c>
      <c r="B2" s="718"/>
      <c r="C2" s="718"/>
      <c r="D2" s="718"/>
    </row>
    <row r="3" spans="1:7" ht="18.600000000000001" customHeight="1" x14ac:dyDescent="0.2">
      <c r="A3" s="718" t="s">
        <v>2</v>
      </c>
      <c r="B3" s="718"/>
      <c r="C3" s="718"/>
      <c r="D3" s="718"/>
    </row>
    <row r="4" spans="1:7" ht="18.600000000000001" customHeight="1" x14ac:dyDescent="0.2">
      <c r="A4" s="718" t="s">
        <v>3</v>
      </c>
      <c r="B4" s="718"/>
      <c r="C4" s="718"/>
      <c r="D4" s="718"/>
      <c r="G4" s="14"/>
    </row>
    <row r="5" spans="1:7" ht="18.600000000000001" customHeight="1" x14ac:dyDescent="0.2">
      <c r="A5" s="718" t="s">
        <v>1105</v>
      </c>
      <c r="B5" s="718"/>
      <c r="C5" s="718"/>
      <c r="D5" s="718"/>
      <c r="G5" s="14"/>
    </row>
    <row r="6" spans="1:7" ht="18.600000000000001" customHeight="1" x14ac:dyDescent="0.2">
      <c r="A6" s="718" t="s">
        <v>37</v>
      </c>
      <c r="B6" s="718"/>
      <c r="C6" s="718"/>
      <c r="D6" s="718"/>
      <c r="E6" s="38"/>
    </row>
    <row r="7" spans="1:7" ht="18.600000000000001" customHeight="1" x14ac:dyDescent="0.2">
      <c r="A7" s="778" t="s">
        <v>1095</v>
      </c>
      <c r="B7" s="778"/>
      <c r="C7" s="778"/>
      <c r="D7" s="778"/>
      <c r="E7" s="38"/>
    </row>
    <row r="8" spans="1:7" ht="47.25" customHeight="1" x14ac:dyDescent="0.2">
      <c r="B8" s="176"/>
      <c r="C8" s="176"/>
      <c r="D8" s="176"/>
      <c r="E8" s="38"/>
    </row>
    <row r="9" spans="1:7" ht="27" customHeight="1" x14ac:dyDescent="0.2">
      <c r="A9" s="749" t="s">
        <v>1003</v>
      </c>
      <c r="B9" s="749"/>
      <c r="C9" s="749"/>
      <c r="D9" s="749"/>
      <c r="E9" s="38"/>
    </row>
    <row r="10" spans="1:7" ht="18" customHeight="1" thickBot="1" x14ac:dyDescent="0.35">
      <c r="A10" s="769" t="s">
        <v>1151</v>
      </c>
      <c r="B10" s="769"/>
      <c r="C10" s="769"/>
      <c r="D10" s="769"/>
      <c r="E10" s="38"/>
    </row>
    <row r="11" spans="1:7" ht="39.75" customHeight="1" thickBot="1" x14ac:dyDescent="0.25">
      <c r="A11" s="466" t="s">
        <v>5</v>
      </c>
      <c r="B11" s="466" t="s">
        <v>172</v>
      </c>
      <c r="C11" s="466" t="s">
        <v>173</v>
      </c>
      <c r="D11" s="467" t="s">
        <v>174</v>
      </c>
    </row>
    <row r="12" spans="1:7" ht="59.25" customHeight="1" x14ac:dyDescent="0.25">
      <c r="A12" s="834" t="s">
        <v>175</v>
      </c>
      <c r="B12" s="109"/>
      <c r="C12" s="111" t="s">
        <v>176</v>
      </c>
      <c r="D12" s="108">
        <v>800</v>
      </c>
      <c r="F12" s="829"/>
    </row>
    <row r="13" spans="1:7" ht="59.25" customHeight="1" thickBot="1" x14ac:dyDescent="0.25">
      <c r="A13" s="833"/>
      <c r="B13" s="106"/>
      <c r="C13" s="112" t="s">
        <v>177</v>
      </c>
      <c r="D13" s="115">
        <v>1420</v>
      </c>
      <c r="F13" s="829"/>
    </row>
    <row r="14" spans="1:7" ht="59.25" customHeight="1" x14ac:dyDescent="0.2">
      <c r="A14" s="830" t="s">
        <v>178</v>
      </c>
      <c r="B14" s="106"/>
      <c r="C14" s="111" t="s">
        <v>176</v>
      </c>
      <c r="D14" s="108">
        <v>1140</v>
      </c>
    </row>
    <row r="15" spans="1:7" ht="59.25" customHeight="1" thickBot="1" x14ac:dyDescent="0.25">
      <c r="A15" s="831"/>
      <c r="B15" s="110"/>
      <c r="C15" s="112" t="s">
        <v>177</v>
      </c>
      <c r="D15" s="113">
        <v>2050</v>
      </c>
    </row>
    <row r="16" spans="1:7" ht="59.25" customHeight="1" x14ac:dyDescent="0.2">
      <c r="A16" s="830" t="s">
        <v>179</v>
      </c>
      <c r="B16" s="106"/>
      <c r="C16" s="111" t="s">
        <v>176</v>
      </c>
      <c r="D16" s="108">
        <v>850</v>
      </c>
      <c r="F16" s="832"/>
      <c r="G16"/>
    </row>
    <row r="17" spans="1:7" ht="59.25" customHeight="1" thickBot="1" x14ac:dyDescent="0.25">
      <c r="A17" s="831"/>
      <c r="B17" s="106"/>
      <c r="C17" s="116" t="s">
        <v>177</v>
      </c>
      <c r="D17" s="114">
        <v>1580</v>
      </c>
      <c r="F17" s="832"/>
      <c r="G17"/>
    </row>
    <row r="18" spans="1:7" s="78" customFormat="1" ht="59.45" customHeight="1" x14ac:dyDescent="0.2">
      <c r="A18" s="830" t="s">
        <v>180</v>
      </c>
      <c r="B18" s="106"/>
      <c r="C18" s="111" t="s">
        <v>176</v>
      </c>
      <c r="D18" s="108">
        <v>1000</v>
      </c>
    </row>
    <row r="19" spans="1:7" s="78" customFormat="1" ht="59.45" customHeight="1" thickBot="1" x14ac:dyDescent="0.25">
      <c r="A19" s="831"/>
      <c r="B19" s="106"/>
      <c r="C19" s="126" t="s">
        <v>177</v>
      </c>
      <c r="D19" s="114">
        <v>1850</v>
      </c>
    </row>
    <row r="20" spans="1:7" s="78" customFormat="1" ht="59.45" customHeight="1" x14ac:dyDescent="0.2">
      <c r="A20" s="830" t="s">
        <v>181</v>
      </c>
      <c r="B20" s="106"/>
      <c r="C20" s="111" t="s">
        <v>182</v>
      </c>
      <c r="D20" s="108">
        <v>1300</v>
      </c>
    </row>
    <row r="21" spans="1:7" s="78" customFormat="1" ht="59.45" customHeight="1" thickBot="1" x14ac:dyDescent="0.25">
      <c r="A21" s="833"/>
      <c r="B21" s="106"/>
      <c r="C21" s="141" t="s">
        <v>183</v>
      </c>
      <c r="D21" s="142">
        <v>2400</v>
      </c>
    </row>
    <row r="22" spans="1:7" ht="13.9" customHeight="1" thickBot="1" x14ac:dyDescent="0.25">
      <c r="A22" s="736" t="s">
        <v>655</v>
      </c>
      <c r="B22" s="737"/>
      <c r="C22" s="737"/>
      <c r="D22" s="738"/>
    </row>
    <row r="26" spans="1:7" x14ac:dyDescent="0.2">
      <c r="G26"/>
    </row>
  </sheetData>
  <mergeCells count="17">
    <mergeCell ref="A6:D6"/>
    <mergeCell ref="A9:D9"/>
    <mergeCell ref="A10:D10"/>
    <mergeCell ref="A12:A13"/>
    <mergeCell ref="A14:A15"/>
    <mergeCell ref="A7:D7"/>
    <mergeCell ref="A1:D1"/>
    <mergeCell ref="A2:D2"/>
    <mergeCell ref="A3:D3"/>
    <mergeCell ref="A4:D4"/>
    <mergeCell ref="A5:D5"/>
    <mergeCell ref="F12:F13"/>
    <mergeCell ref="A16:A17"/>
    <mergeCell ref="F16:F17"/>
    <mergeCell ref="A22:D22"/>
    <mergeCell ref="A18:A19"/>
    <mergeCell ref="A20:A21"/>
  </mergeCells>
  <pageMargins left="0.53" right="0.19700000000000001" top="3.9E-2" bottom="3.9E-2" header="0" footer="0"/>
  <pageSetup paperSize="9" scale="9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4:I19"/>
  <sheetViews>
    <sheetView topLeftCell="A7" zoomScale="70" zoomScaleNormal="70" zoomScaleSheetLayoutView="70" workbookViewId="0">
      <selection activeCell="F14" sqref="F14"/>
    </sheetView>
  </sheetViews>
  <sheetFormatPr defaultColWidth="9.140625" defaultRowHeight="20.25" x14ac:dyDescent="0.3"/>
  <cols>
    <col min="1" max="1" width="4.7109375" style="6" customWidth="1"/>
    <col min="2" max="2" width="18" style="6" customWidth="1"/>
    <col min="3" max="3" width="11.7109375" style="6" customWidth="1"/>
    <col min="4" max="4" width="12.42578125" style="6" customWidth="1"/>
    <col min="5" max="5" width="93.7109375" style="7" customWidth="1"/>
    <col min="6" max="6" width="36.28515625" style="6" customWidth="1"/>
    <col min="7" max="7" width="7.7109375" style="6" customWidth="1"/>
    <col min="8" max="8" width="14.5703125" style="6" customWidth="1"/>
    <col min="9" max="9" width="13.28515625" style="6" customWidth="1"/>
    <col min="10" max="16384" width="9.140625" style="6"/>
  </cols>
  <sheetData>
    <row r="4" spans="2:9" ht="32.450000000000003" customHeight="1" x14ac:dyDescent="0.45">
      <c r="B4" s="841" t="s">
        <v>101</v>
      </c>
      <c r="C4" s="841"/>
      <c r="D4" s="841"/>
      <c r="E4" s="841"/>
      <c r="F4" s="841"/>
      <c r="G4" s="841"/>
      <c r="H4" s="841"/>
    </row>
    <row r="5" spans="2:9" ht="32.450000000000003" customHeight="1" x14ac:dyDescent="0.3">
      <c r="B5" s="843" t="s">
        <v>1</v>
      </c>
      <c r="C5" s="843"/>
      <c r="D5" s="843"/>
      <c r="E5" s="843"/>
      <c r="F5" s="843"/>
      <c r="G5" s="843"/>
      <c r="H5" s="843"/>
    </row>
    <row r="6" spans="2:9" ht="32.450000000000003" customHeight="1" x14ac:dyDescent="0.45">
      <c r="B6" s="841" t="s">
        <v>2</v>
      </c>
      <c r="C6" s="841"/>
      <c r="D6" s="841"/>
      <c r="E6" s="841"/>
      <c r="F6" s="841"/>
      <c r="G6" s="841"/>
      <c r="H6" s="841"/>
    </row>
    <row r="7" spans="2:9" ht="32.450000000000003" customHeight="1" x14ac:dyDescent="0.45">
      <c r="B7" s="841" t="s">
        <v>191</v>
      </c>
      <c r="C7" s="841"/>
      <c r="D7" s="841"/>
      <c r="E7" s="841"/>
      <c r="F7" s="841"/>
      <c r="G7" s="841"/>
      <c r="H7" s="841"/>
    </row>
    <row r="8" spans="2:9" ht="32.450000000000003" customHeight="1" x14ac:dyDescent="0.45">
      <c r="B8" s="841" t="s">
        <v>1105</v>
      </c>
      <c r="C8" s="841"/>
      <c r="D8" s="841"/>
      <c r="E8" s="841"/>
      <c r="F8" s="841"/>
      <c r="G8" s="841"/>
      <c r="H8" s="841"/>
    </row>
    <row r="9" spans="2:9" ht="32.450000000000003" customHeight="1" x14ac:dyDescent="0.45">
      <c r="B9" s="841" t="s">
        <v>37</v>
      </c>
      <c r="C9" s="841"/>
      <c r="D9" s="841"/>
      <c r="E9" s="841"/>
      <c r="F9" s="841"/>
      <c r="G9" s="841"/>
      <c r="H9" s="841"/>
    </row>
    <row r="10" spans="2:9" ht="39" customHeight="1" x14ac:dyDescent="0.65">
      <c r="D10" s="844" t="s">
        <v>1095</v>
      </c>
      <c r="E10" s="844"/>
      <c r="F10" s="844"/>
      <c r="G10" s="178"/>
      <c r="H10" s="178"/>
      <c r="I10" s="177"/>
    </row>
    <row r="12" spans="2:9" s="32" customFormat="1" ht="52.5" customHeight="1" x14ac:dyDescent="0.6">
      <c r="B12" s="842" t="s">
        <v>192</v>
      </c>
      <c r="C12" s="842"/>
      <c r="D12" s="842"/>
      <c r="E12" s="842"/>
      <c r="F12" s="842"/>
      <c r="G12" s="842"/>
      <c r="H12" s="842"/>
    </row>
    <row r="13" spans="2:9" s="32" customFormat="1" ht="41.25" thickBot="1" x14ac:dyDescent="0.6">
      <c r="E13" s="33"/>
      <c r="F13" s="280" t="s">
        <v>1108</v>
      </c>
    </row>
    <row r="14" spans="2:9" s="32" customFormat="1" ht="122.25" thickBot="1" x14ac:dyDescent="0.6">
      <c r="D14" s="835" t="s">
        <v>665</v>
      </c>
      <c r="E14" s="836"/>
      <c r="F14" s="468" t="s">
        <v>193</v>
      </c>
    </row>
    <row r="15" spans="2:9" s="32" customFormat="1" ht="55.5" hidden="1" customHeight="1" x14ac:dyDescent="0.55000000000000004">
      <c r="D15" s="283"/>
      <c r="E15" s="284"/>
      <c r="F15" s="43"/>
    </row>
    <row r="16" spans="2:9" s="32" customFormat="1" ht="55.5" customHeight="1" x14ac:dyDescent="0.55000000000000004">
      <c r="D16" s="837" t="s">
        <v>1107</v>
      </c>
      <c r="E16" s="838"/>
      <c r="F16" s="43">
        <v>680</v>
      </c>
    </row>
    <row r="17" spans="4:6" s="32" customFormat="1" ht="55.5" customHeight="1" x14ac:dyDescent="0.55000000000000004">
      <c r="D17" s="837" t="s">
        <v>692</v>
      </c>
      <c r="E17" s="838"/>
      <c r="F17" s="43">
        <v>850</v>
      </c>
    </row>
    <row r="18" spans="4:6" s="32" customFormat="1" ht="51" customHeight="1" thickBot="1" x14ac:dyDescent="0.6">
      <c r="D18" s="839" t="s">
        <v>1106</v>
      </c>
      <c r="E18" s="840"/>
      <c r="F18" s="282">
        <v>1100</v>
      </c>
    </row>
    <row r="19" spans="4:6" ht="21" thickBot="1" x14ac:dyDescent="0.35">
      <c r="D19" s="765" t="s">
        <v>655</v>
      </c>
      <c r="E19" s="766"/>
      <c r="F19" s="767"/>
    </row>
  </sheetData>
  <mergeCells count="13">
    <mergeCell ref="D14:E14"/>
    <mergeCell ref="D16:E16"/>
    <mergeCell ref="D18:E18"/>
    <mergeCell ref="D19:F19"/>
    <mergeCell ref="B4:H4"/>
    <mergeCell ref="B12:H12"/>
    <mergeCell ref="B5:H5"/>
    <mergeCell ref="B6:H6"/>
    <mergeCell ref="B7:H7"/>
    <mergeCell ref="B8:H8"/>
    <mergeCell ref="B9:H9"/>
    <mergeCell ref="D10:F10"/>
    <mergeCell ref="D17:E17"/>
  </mergeCells>
  <pageMargins left="0.47" right="0.16" top="0.41" bottom="0.3" header="0.17" footer="0.17"/>
  <pageSetup paperSize="9" scale="6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6"/>
  <sheetViews>
    <sheetView workbookViewId="0">
      <selection activeCell="A10" sqref="A10:C10"/>
    </sheetView>
  </sheetViews>
  <sheetFormatPr defaultColWidth="9.140625" defaultRowHeight="20.25" x14ac:dyDescent="0.2"/>
  <cols>
    <col min="1" max="1" width="45" style="80" customWidth="1"/>
    <col min="2" max="2" width="34.7109375" style="14" customWidth="1"/>
    <col min="3" max="3" width="9.5703125" style="24" customWidth="1"/>
    <col min="4" max="4" width="23.42578125" style="24" customWidth="1"/>
    <col min="5" max="5" width="18.42578125" style="24" customWidth="1"/>
    <col min="6" max="6" width="28" style="24" customWidth="1"/>
    <col min="7" max="16384" width="9.140625" style="24"/>
  </cols>
  <sheetData>
    <row r="1" spans="1:7" ht="15.75" customHeight="1" x14ac:dyDescent="0.2">
      <c r="A1" s="776" t="s">
        <v>0</v>
      </c>
      <c r="B1" s="776"/>
      <c r="C1" s="776"/>
    </row>
    <row r="2" spans="1:7" ht="15.75" customHeight="1" x14ac:dyDescent="0.2">
      <c r="A2" s="776" t="s">
        <v>1</v>
      </c>
      <c r="B2" s="776"/>
      <c r="C2" s="776"/>
    </row>
    <row r="3" spans="1:7" ht="15.75" customHeight="1" x14ac:dyDescent="0.2">
      <c r="A3" s="776" t="s">
        <v>102</v>
      </c>
      <c r="B3" s="776"/>
      <c r="C3" s="776"/>
    </row>
    <row r="4" spans="1:7" ht="15.75" customHeight="1" x14ac:dyDescent="0.2">
      <c r="A4" s="776" t="s">
        <v>194</v>
      </c>
      <c r="B4" s="776"/>
      <c r="C4" s="776"/>
      <c r="F4" s="14"/>
    </row>
    <row r="5" spans="1:7" ht="15.75" customHeight="1" x14ac:dyDescent="0.2">
      <c r="A5" s="776" t="s">
        <v>1105</v>
      </c>
      <c r="B5" s="776"/>
      <c r="C5" s="776"/>
      <c r="F5" s="14"/>
    </row>
    <row r="6" spans="1:7" ht="15.75" customHeight="1" x14ac:dyDescent="0.2">
      <c r="A6" s="776" t="s">
        <v>37</v>
      </c>
      <c r="B6" s="776"/>
      <c r="C6" s="776"/>
      <c r="D6" s="38"/>
    </row>
    <row r="7" spans="1:7" ht="15.75" customHeight="1" x14ac:dyDescent="0.2">
      <c r="A7" s="773" t="s">
        <v>1095</v>
      </c>
      <c r="B7" s="773"/>
      <c r="C7" s="773"/>
      <c r="D7" s="38"/>
    </row>
    <row r="8" spans="1:7" ht="13.9" customHeight="1" x14ac:dyDescent="0.2">
      <c r="A8" s="846"/>
      <c r="B8" s="846"/>
      <c r="C8" s="846"/>
      <c r="D8" s="38"/>
    </row>
    <row r="9" spans="1:7" ht="55.5" customHeight="1" x14ac:dyDescent="0.2">
      <c r="A9" s="845" t="s">
        <v>1011</v>
      </c>
      <c r="B9" s="749"/>
      <c r="C9" s="749"/>
      <c r="D9" s="38"/>
    </row>
    <row r="10" spans="1:7" ht="18.600000000000001" customHeight="1" thickBot="1" x14ac:dyDescent="0.35">
      <c r="A10" s="769" t="s">
        <v>1096</v>
      </c>
      <c r="B10" s="769"/>
      <c r="C10" s="769"/>
      <c r="D10" s="38"/>
    </row>
    <row r="11" spans="1:7" ht="33" customHeight="1" thickBot="1" x14ac:dyDescent="0.25">
      <c r="A11" s="466" t="s">
        <v>5</v>
      </c>
      <c r="B11" s="466" t="s">
        <v>172</v>
      </c>
      <c r="C11" s="467" t="s">
        <v>185</v>
      </c>
      <c r="E11" s="176"/>
      <c r="F11" s="176"/>
      <c r="G11" s="176"/>
    </row>
    <row r="12" spans="1:7" ht="18" customHeight="1" thickBot="1" x14ac:dyDescent="0.25">
      <c r="A12" s="789" t="s">
        <v>195</v>
      </c>
      <c r="B12" s="790"/>
      <c r="C12" s="791"/>
      <c r="E12" s="176"/>
      <c r="F12" s="176"/>
      <c r="G12" s="176"/>
    </row>
    <row r="13" spans="1:7" ht="22.15" customHeight="1" thickBot="1" x14ac:dyDescent="0.25">
      <c r="A13" s="81" t="s">
        <v>699</v>
      </c>
      <c r="B13" s="73"/>
      <c r="C13" s="26">
        <v>75</v>
      </c>
      <c r="E13" s="176"/>
      <c r="F13" s="176"/>
      <c r="G13" s="176"/>
    </row>
    <row r="14" spans="1:7" ht="22.15" customHeight="1" x14ac:dyDescent="0.2">
      <c r="A14" s="82" t="s">
        <v>196</v>
      </c>
      <c r="B14" s="73"/>
      <c r="C14" s="12">
        <v>95</v>
      </c>
      <c r="E14" s="176"/>
      <c r="F14" s="176"/>
      <c r="G14" s="176"/>
    </row>
    <row r="15" spans="1:7" ht="22.15" customHeight="1" x14ac:dyDescent="0.2">
      <c r="A15" s="82" t="s">
        <v>728</v>
      </c>
      <c r="B15" s="24"/>
      <c r="C15" s="11">
        <v>135</v>
      </c>
      <c r="E15" s="176"/>
      <c r="F15" s="176"/>
      <c r="G15" s="176"/>
    </row>
    <row r="16" spans="1:7" ht="22.15" customHeight="1" x14ac:dyDescent="0.2">
      <c r="A16" s="82" t="s">
        <v>197</v>
      </c>
      <c r="B16" s="24"/>
      <c r="C16" s="11">
        <v>145</v>
      </c>
    </row>
    <row r="17" spans="1:3" ht="22.15" customHeight="1" x14ac:dyDescent="0.2">
      <c r="A17" s="82" t="s">
        <v>198</v>
      </c>
      <c r="B17" s="24"/>
      <c r="C17" s="11">
        <v>180</v>
      </c>
    </row>
    <row r="18" spans="1:3" ht="22.15" customHeight="1" x14ac:dyDescent="0.2">
      <c r="A18" s="82" t="s">
        <v>199</v>
      </c>
      <c r="B18" s="24"/>
      <c r="C18" s="11">
        <v>195</v>
      </c>
    </row>
    <row r="19" spans="1:3" ht="22.15" customHeight="1" x14ac:dyDescent="0.2">
      <c r="A19" s="82" t="s">
        <v>200</v>
      </c>
      <c r="B19" s="24"/>
      <c r="C19" s="11">
        <v>400</v>
      </c>
    </row>
    <row r="20" spans="1:3" ht="22.15" customHeight="1" x14ac:dyDescent="0.2">
      <c r="A20" s="82" t="s">
        <v>201</v>
      </c>
      <c r="B20" s="24"/>
      <c r="C20" s="11">
        <v>550</v>
      </c>
    </row>
    <row r="21" spans="1:3" s="78" customFormat="1" ht="22.15" customHeight="1" x14ac:dyDescent="0.2">
      <c r="A21" s="82" t="s">
        <v>202</v>
      </c>
      <c r="B21" s="24"/>
      <c r="C21" s="99">
        <v>95</v>
      </c>
    </row>
    <row r="22" spans="1:3" s="78" customFormat="1" ht="22.15" customHeight="1" x14ac:dyDescent="0.2">
      <c r="A22" s="82" t="s">
        <v>667</v>
      </c>
      <c r="C22" s="11">
        <v>145</v>
      </c>
    </row>
    <row r="23" spans="1:3" s="78" customFormat="1" ht="22.15" customHeight="1" x14ac:dyDescent="0.2">
      <c r="A23" s="82" t="s">
        <v>203</v>
      </c>
      <c r="B23" s="24"/>
      <c r="C23" s="11">
        <v>400</v>
      </c>
    </row>
    <row r="24" spans="1:3" s="78" customFormat="1" ht="22.15" customHeight="1" x14ac:dyDescent="0.2">
      <c r="A24" s="82" t="s">
        <v>204</v>
      </c>
      <c r="B24" s="24"/>
      <c r="C24" s="12">
        <v>180</v>
      </c>
    </row>
    <row r="25" spans="1:3" s="78" customFormat="1" ht="22.15" customHeight="1" thickBot="1" x14ac:dyDescent="0.25">
      <c r="A25" s="82" t="s">
        <v>205</v>
      </c>
      <c r="B25" s="24"/>
      <c r="C25" s="100">
        <v>180</v>
      </c>
    </row>
    <row r="26" spans="1:3" s="78" customFormat="1" ht="22.15" customHeight="1" thickBot="1" x14ac:dyDescent="0.25">
      <c r="A26" s="83" t="s">
        <v>206</v>
      </c>
      <c r="B26" s="24"/>
      <c r="C26" s="100">
        <v>195</v>
      </c>
    </row>
    <row r="27" spans="1:3" s="78" customFormat="1" ht="18.75" customHeight="1" thickBot="1" x14ac:dyDescent="0.25">
      <c r="A27" s="789" t="s">
        <v>207</v>
      </c>
      <c r="B27" s="790"/>
      <c r="C27" s="791"/>
    </row>
    <row r="28" spans="1:3" s="78" customFormat="1" ht="31.9" customHeight="1" x14ac:dyDescent="0.2">
      <c r="A28" s="81" t="s">
        <v>208</v>
      </c>
      <c r="B28" s="73"/>
      <c r="C28" s="101">
        <v>90</v>
      </c>
    </row>
    <row r="29" spans="1:3" s="78" customFormat="1" ht="31.9" customHeight="1" x14ac:dyDescent="0.2">
      <c r="A29" s="84" t="s">
        <v>209</v>
      </c>
      <c r="B29" s="24"/>
      <c r="C29" s="11">
        <v>110</v>
      </c>
    </row>
    <row r="30" spans="1:3" s="78" customFormat="1" ht="31.9" customHeight="1" x14ac:dyDescent="0.2">
      <c r="A30" s="84" t="s">
        <v>210</v>
      </c>
      <c r="B30" s="24"/>
      <c r="C30" s="99">
        <v>130</v>
      </c>
    </row>
    <row r="31" spans="1:3" ht="31.9" customHeight="1" x14ac:dyDescent="0.2">
      <c r="A31" s="84" t="s">
        <v>211</v>
      </c>
      <c r="B31" s="24"/>
      <c r="C31" s="11">
        <v>90</v>
      </c>
    </row>
    <row r="32" spans="1:3" ht="31.9" customHeight="1" x14ac:dyDescent="0.2">
      <c r="A32" s="84" t="s">
        <v>212</v>
      </c>
      <c r="B32" s="24"/>
      <c r="C32" s="11">
        <v>110</v>
      </c>
    </row>
    <row r="33" spans="1:3" ht="31.9" customHeight="1" x14ac:dyDescent="0.2">
      <c r="A33" s="84" t="s">
        <v>213</v>
      </c>
      <c r="B33" s="24"/>
      <c r="C33" s="102">
        <v>80</v>
      </c>
    </row>
    <row r="34" spans="1:3" ht="31.9" customHeight="1" thickBot="1" x14ac:dyDescent="0.25">
      <c r="A34" s="85" t="s">
        <v>651</v>
      </c>
      <c r="B34" s="95"/>
      <c r="C34" s="13">
        <v>95</v>
      </c>
    </row>
    <row r="35" spans="1:3" ht="6.6" customHeight="1" x14ac:dyDescent="0.2">
      <c r="A35" s="98"/>
      <c r="B35" s="24"/>
      <c r="C35" s="18"/>
    </row>
    <row r="36" spans="1:3" ht="6.6" customHeight="1" x14ac:dyDescent="0.2">
      <c r="A36" s="98"/>
      <c r="B36" s="24"/>
      <c r="C36" s="18"/>
    </row>
    <row r="37" spans="1:3" ht="27.6" customHeight="1" x14ac:dyDescent="0.2">
      <c r="A37" s="98"/>
      <c r="B37" s="24"/>
      <c r="C37" s="18"/>
    </row>
    <row r="38" spans="1:3" ht="6.6" customHeight="1" x14ac:dyDescent="0.2">
      <c r="A38" s="98"/>
      <c r="B38" s="24"/>
      <c r="C38" s="18"/>
    </row>
    <row r="39" spans="1:3" ht="6.6" customHeight="1" x14ac:dyDescent="0.2">
      <c r="A39" s="98"/>
      <c r="B39" s="24"/>
      <c r="C39" s="18"/>
    </row>
    <row r="40" spans="1:3" ht="6.6" customHeight="1" x14ac:dyDescent="0.2">
      <c r="A40" s="98"/>
      <c r="B40" s="24"/>
      <c r="C40" s="18"/>
    </row>
    <row r="41" spans="1:3" ht="15" customHeight="1" x14ac:dyDescent="0.2">
      <c r="A41" s="98"/>
      <c r="B41" s="24"/>
      <c r="C41" s="18"/>
    </row>
    <row r="42" spans="1:3" ht="6.6" customHeight="1" thickBot="1" x14ac:dyDescent="0.25">
      <c r="A42" s="98"/>
      <c r="B42" s="24"/>
      <c r="C42" s="18"/>
    </row>
    <row r="43" spans="1:3" ht="19.5" customHeight="1" thickBot="1" x14ac:dyDescent="0.25">
      <c r="A43" s="789" t="s">
        <v>214</v>
      </c>
      <c r="B43" s="790"/>
      <c r="C43" s="791"/>
    </row>
    <row r="44" spans="1:3" ht="18" customHeight="1" x14ac:dyDescent="0.2">
      <c r="A44" s="86" t="s">
        <v>215</v>
      </c>
      <c r="B44" s="75"/>
      <c r="C44" s="12">
        <v>135</v>
      </c>
    </row>
    <row r="45" spans="1:3" ht="18" customHeight="1" x14ac:dyDescent="0.2">
      <c r="A45" s="87" t="s">
        <v>216</v>
      </c>
      <c r="B45" s="76"/>
      <c r="C45" s="11">
        <v>170</v>
      </c>
    </row>
    <row r="46" spans="1:3" ht="18" customHeight="1" x14ac:dyDescent="0.2">
      <c r="A46" s="286" t="s">
        <v>217</v>
      </c>
      <c r="B46" s="77"/>
      <c r="C46" s="138">
        <v>130</v>
      </c>
    </row>
    <row r="47" spans="1:3" ht="18" customHeight="1" x14ac:dyDescent="0.2">
      <c r="A47" s="87" t="s">
        <v>218</v>
      </c>
      <c r="B47" s="76"/>
      <c r="C47" s="11">
        <v>190</v>
      </c>
    </row>
    <row r="48" spans="1:3" ht="18" customHeight="1" x14ac:dyDescent="0.2">
      <c r="A48" s="87" t="s">
        <v>219</v>
      </c>
      <c r="B48" s="77"/>
      <c r="C48" s="11">
        <v>220</v>
      </c>
    </row>
    <row r="49" spans="1:3" ht="18" customHeight="1" x14ac:dyDescent="0.2">
      <c r="A49" s="87" t="s">
        <v>220</v>
      </c>
      <c r="B49" s="76"/>
      <c r="C49" s="11">
        <v>240</v>
      </c>
    </row>
    <row r="50" spans="1:3" ht="18" customHeight="1" x14ac:dyDescent="0.2">
      <c r="A50" s="87" t="s">
        <v>221</v>
      </c>
      <c r="B50" s="76"/>
      <c r="C50" s="11">
        <v>265</v>
      </c>
    </row>
    <row r="51" spans="1:3" ht="18" customHeight="1" x14ac:dyDescent="0.2">
      <c r="A51" s="87" t="s">
        <v>222</v>
      </c>
      <c r="B51" s="76"/>
      <c r="C51" s="11">
        <v>360</v>
      </c>
    </row>
    <row r="52" spans="1:3" ht="18" customHeight="1" thickBot="1" x14ac:dyDescent="0.25">
      <c r="A52" s="88" t="s">
        <v>223</v>
      </c>
      <c r="B52" s="76"/>
      <c r="C52" s="99">
        <v>400</v>
      </c>
    </row>
    <row r="53" spans="1:3" ht="18" customHeight="1" x14ac:dyDescent="0.2">
      <c r="A53" s="92" t="s">
        <v>224</v>
      </c>
      <c r="B53" s="75"/>
      <c r="C53" s="26">
        <v>135</v>
      </c>
    </row>
    <row r="54" spans="1:3" ht="18" customHeight="1" x14ac:dyDescent="0.2">
      <c r="A54" s="87" t="s">
        <v>225</v>
      </c>
      <c r="B54" s="76"/>
      <c r="C54" s="11">
        <v>170</v>
      </c>
    </row>
    <row r="55" spans="1:3" ht="18" customHeight="1" x14ac:dyDescent="0.2">
      <c r="A55" s="87" t="s">
        <v>226</v>
      </c>
      <c r="B55" s="76"/>
      <c r="C55" s="11">
        <v>190</v>
      </c>
    </row>
    <row r="56" spans="1:3" ht="18" customHeight="1" x14ac:dyDescent="0.2">
      <c r="A56" s="87" t="s">
        <v>227</v>
      </c>
      <c r="B56" s="76"/>
      <c r="C56" s="11">
        <v>220</v>
      </c>
    </row>
    <row r="57" spans="1:3" ht="18" customHeight="1" x14ac:dyDescent="0.2">
      <c r="A57" s="87" t="s">
        <v>228</v>
      </c>
      <c r="B57" s="76"/>
      <c r="C57" s="11">
        <v>240</v>
      </c>
    </row>
    <row r="58" spans="1:3" ht="18" customHeight="1" x14ac:dyDescent="0.2">
      <c r="A58" s="87" t="s">
        <v>229</v>
      </c>
      <c r="B58" s="76"/>
      <c r="C58" s="11">
        <v>265</v>
      </c>
    </row>
    <row r="59" spans="1:3" ht="18" customHeight="1" thickBot="1" x14ac:dyDescent="0.25">
      <c r="A59" s="94" t="s">
        <v>230</v>
      </c>
      <c r="B59" s="79"/>
      <c r="C59" s="13">
        <v>360</v>
      </c>
    </row>
    <row r="60" spans="1:3" ht="18" customHeight="1" x14ac:dyDescent="0.2">
      <c r="A60" s="86" t="s">
        <v>231</v>
      </c>
      <c r="B60" s="76"/>
      <c r="C60" s="12">
        <v>135</v>
      </c>
    </row>
    <row r="61" spans="1:3" ht="18" customHeight="1" x14ac:dyDescent="0.2">
      <c r="A61" s="87" t="s">
        <v>232</v>
      </c>
      <c r="B61" s="76"/>
      <c r="C61" s="11">
        <v>170</v>
      </c>
    </row>
    <row r="62" spans="1:3" ht="18" customHeight="1" x14ac:dyDescent="0.2">
      <c r="A62" s="87" t="s">
        <v>233</v>
      </c>
      <c r="B62" s="76"/>
      <c r="C62" s="11">
        <v>190</v>
      </c>
    </row>
    <row r="63" spans="1:3" ht="18" customHeight="1" x14ac:dyDescent="0.2">
      <c r="A63" s="87" t="s">
        <v>234</v>
      </c>
      <c r="B63" s="76"/>
      <c r="C63" s="11">
        <v>220</v>
      </c>
    </row>
    <row r="64" spans="1:3" ht="18" customHeight="1" x14ac:dyDescent="0.2">
      <c r="A64" s="87" t="s">
        <v>235</v>
      </c>
      <c r="B64" s="76"/>
      <c r="C64" s="11">
        <v>240</v>
      </c>
    </row>
    <row r="65" spans="1:3" ht="18" customHeight="1" x14ac:dyDescent="0.2">
      <c r="A65" s="87" t="s">
        <v>236</v>
      </c>
      <c r="B65" s="76"/>
      <c r="C65" s="11">
        <v>265</v>
      </c>
    </row>
    <row r="66" spans="1:3" ht="18" customHeight="1" thickBot="1" x14ac:dyDescent="0.25">
      <c r="A66" s="87" t="s">
        <v>237</v>
      </c>
      <c r="B66" s="76"/>
      <c r="C66" s="11">
        <v>360</v>
      </c>
    </row>
    <row r="67" spans="1:3" ht="17.25" customHeight="1" thickBot="1" x14ac:dyDescent="0.25">
      <c r="A67" s="789" t="s">
        <v>238</v>
      </c>
      <c r="B67" s="790"/>
      <c r="C67" s="791"/>
    </row>
    <row r="68" spans="1:3" ht="16.899999999999999" customHeight="1" x14ac:dyDescent="0.2">
      <c r="A68" s="129" t="s">
        <v>239</v>
      </c>
      <c r="B68" s="75"/>
      <c r="C68" s="26">
        <v>130</v>
      </c>
    </row>
    <row r="69" spans="1:3" ht="16.899999999999999" customHeight="1" x14ac:dyDescent="0.2">
      <c r="A69" s="172" t="s">
        <v>652</v>
      </c>
      <c r="B69" s="77"/>
      <c r="C69" s="173">
        <v>75</v>
      </c>
    </row>
    <row r="70" spans="1:3" ht="16.899999999999999" customHeight="1" x14ac:dyDescent="0.2">
      <c r="A70" s="118" t="s">
        <v>240</v>
      </c>
      <c r="B70" s="76"/>
      <c r="C70" s="11">
        <v>150</v>
      </c>
    </row>
    <row r="71" spans="1:3" ht="16.899999999999999" customHeight="1" x14ac:dyDescent="0.2">
      <c r="A71" s="118" t="s">
        <v>241</v>
      </c>
      <c r="B71" s="76"/>
      <c r="C71" s="11">
        <v>200</v>
      </c>
    </row>
    <row r="72" spans="1:3" ht="16.899999999999999" customHeight="1" x14ac:dyDescent="0.2">
      <c r="A72" s="118" t="s">
        <v>242</v>
      </c>
      <c r="B72" s="76"/>
      <c r="C72" s="11">
        <v>200</v>
      </c>
    </row>
    <row r="73" spans="1:3" ht="16.899999999999999" customHeight="1" thickBot="1" x14ac:dyDescent="0.25">
      <c r="A73" s="130" t="s">
        <v>243</v>
      </c>
      <c r="B73" s="79"/>
      <c r="C73" s="100">
        <v>250</v>
      </c>
    </row>
    <row r="74" spans="1:3" ht="16.899999999999999" customHeight="1" x14ac:dyDescent="0.2">
      <c r="A74" s="89" t="s">
        <v>244</v>
      </c>
      <c r="B74" s="24"/>
      <c r="C74" s="12">
        <v>150</v>
      </c>
    </row>
    <row r="75" spans="1:3" ht="16.899999999999999" customHeight="1" x14ac:dyDescent="0.2">
      <c r="A75" s="89" t="s">
        <v>245</v>
      </c>
      <c r="B75" s="24"/>
      <c r="C75" s="11">
        <v>200</v>
      </c>
    </row>
    <row r="76" spans="1:3" ht="16.899999999999999" customHeight="1" thickBot="1" x14ac:dyDescent="0.25">
      <c r="A76" s="91" t="s">
        <v>246</v>
      </c>
      <c r="B76" s="24"/>
      <c r="C76" s="99">
        <v>130</v>
      </c>
    </row>
    <row r="77" spans="1:3" ht="19.5" customHeight="1" thickBot="1" x14ac:dyDescent="0.25">
      <c r="A77" s="789" t="s">
        <v>247</v>
      </c>
      <c r="B77" s="790"/>
      <c r="C77" s="791"/>
    </row>
    <row r="78" spans="1:3" ht="19.149999999999999" customHeight="1" x14ac:dyDescent="0.2">
      <c r="A78" s="89" t="s">
        <v>248</v>
      </c>
      <c r="B78" s="24"/>
      <c r="C78" s="102">
        <v>40</v>
      </c>
    </row>
    <row r="79" spans="1:3" ht="19.149999999999999" customHeight="1" thickBot="1" x14ac:dyDescent="0.25">
      <c r="A79" s="90" t="s">
        <v>249</v>
      </c>
      <c r="B79" s="24"/>
      <c r="C79" s="99">
        <v>45</v>
      </c>
    </row>
    <row r="80" spans="1:3" ht="19.5" customHeight="1" thickBot="1" x14ac:dyDescent="0.25">
      <c r="A80" s="789" t="s">
        <v>250</v>
      </c>
      <c r="B80" s="794"/>
      <c r="C80" s="791"/>
    </row>
    <row r="81" spans="1:3" ht="19.899999999999999" customHeight="1" x14ac:dyDescent="0.2">
      <c r="A81" s="118" t="s">
        <v>251</v>
      </c>
      <c r="B81" s="75"/>
      <c r="C81" s="102">
        <v>330</v>
      </c>
    </row>
    <row r="82" spans="1:3" ht="19.899999999999999" customHeight="1" x14ac:dyDescent="0.2">
      <c r="A82" s="118" t="s">
        <v>252</v>
      </c>
      <c r="B82" s="76"/>
      <c r="C82" s="99">
        <v>240</v>
      </c>
    </row>
    <row r="83" spans="1:3" ht="19.899999999999999" customHeight="1" x14ac:dyDescent="0.2">
      <c r="A83" s="118" t="s">
        <v>253</v>
      </c>
      <c r="B83" s="76"/>
      <c r="C83" s="99">
        <v>400</v>
      </c>
    </row>
    <row r="84" spans="1:3" ht="19.899999999999999" customHeight="1" x14ac:dyDescent="0.2">
      <c r="A84" s="139" t="s">
        <v>254</v>
      </c>
      <c r="B84" s="76"/>
      <c r="C84" s="11">
        <v>300</v>
      </c>
    </row>
    <row r="85" spans="1:3" ht="19.899999999999999" customHeight="1" thickBot="1" x14ac:dyDescent="0.25">
      <c r="A85" s="130" t="s">
        <v>255</v>
      </c>
      <c r="B85" s="79"/>
      <c r="C85" s="100">
        <v>340</v>
      </c>
    </row>
    <row r="86" spans="1:3" ht="13.9" customHeight="1" thickBot="1" x14ac:dyDescent="0.25">
      <c r="A86" s="785" t="s">
        <v>655</v>
      </c>
      <c r="B86" s="847"/>
      <c r="C86" s="787"/>
    </row>
  </sheetData>
  <mergeCells count="17">
    <mergeCell ref="A77:C77"/>
    <mergeCell ref="A80:C80"/>
    <mergeCell ref="A8:C8"/>
    <mergeCell ref="A86:C86"/>
    <mergeCell ref="A43:C43"/>
    <mergeCell ref="A67:C67"/>
    <mergeCell ref="A1:C1"/>
    <mergeCell ref="A2:C2"/>
    <mergeCell ref="A3:C3"/>
    <mergeCell ref="A4:C4"/>
    <mergeCell ref="A5:C5"/>
    <mergeCell ref="A6:C6"/>
    <mergeCell ref="A9:C9"/>
    <mergeCell ref="A10:C10"/>
    <mergeCell ref="A27:C27"/>
    <mergeCell ref="A12:C12"/>
    <mergeCell ref="A7:C7"/>
  </mergeCells>
  <pageMargins left="0.24" right="0.22" top="0.23599999999999999" bottom="0.23599999999999999" header="0.23599999999999999" footer="0.23599999999999999"/>
  <pageSetup paperSize="9" fitToHeight="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03"/>
  <sheetViews>
    <sheetView zoomScale="85" zoomScaleNormal="85" workbookViewId="0">
      <selection activeCell="E54" sqref="E54"/>
    </sheetView>
  </sheetViews>
  <sheetFormatPr defaultColWidth="10" defaultRowHeight="12.75" x14ac:dyDescent="0.2"/>
  <cols>
    <col min="1" max="1" width="43" customWidth="1"/>
    <col min="2" max="2" width="48.42578125" style="9" customWidth="1"/>
    <col min="3" max="3" width="12.140625" style="22" customWidth="1"/>
    <col min="4" max="4" width="6.140625" hidden="1" customWidth="1"/>
  </cols>
  <sheetData>
    <row r="1" spans="1:3" s="2" customFormat="1" ht="18" customHeight="1" x14ac:dyDescent="0.3">
      <c r="A1" s="774" t="s">
        <v>0</v>
      </c>
      <c r="B1" s="774"/>
      <c r="C1" s="774"/>
    </row>
    <row r="2" spans="1:3" s="2" customFormat="1" ht="18" customHeight="1" x14ac:dyDescent="0.3">
      <c r="A2" s="774" t="s">
        <v>1</v>
      </c>
      <c r="B2" s="774"/>
      <c r="C2" s="774"/>
    </row>
    <row r="3" spans="1:3" s="2" customFormat="1" ht="18" customHeight="1" x14ac:dyDescent="0.3">
      <c r="A3" s="774" t="s">
        <v>2</v>
      </c>
      <c r="B3" s="774"/>
      <c r="C3" s="774"/>
    </row>
    <row r="4" spans="1:3" s="2" customFormat="1" ht="18" customHeight="1" x14ac:dyDescent="0.3">
      <c r="A4" s="774" t="s">
        <v>194</v>
      </c>
      <c r="B4" s="774"/>
      <c r="C4" s="774"/>
    </row>
    <row r="5" spans="1:3" s="2" customFormat="1" ht="18" customHeight="1" x14ac:dyDescent="0.3">
      <c r="A5" s="774" t="s">
        <v>1105</v>
      </c>
      <c r="B5" s="774"/>
      <c r="C5" s="774"/>
    </row>
    <row r="6" spans="1:3" s="2" customFormat="1" ht="18" customHeight="1" x14ac:dyDescent="0.3">
      <c r="A6" s="774" t="s">
        <v>37</v>
      </c>
      <c r="B6" s="774"/>
      <c r="C6" s="774"/>
    </row>
    <row r="7" spans="1:3" s="2" customFormat="1" ht="18.75" customHeight="1" x14ac:dyDescent="0.3">
      <c r="A7" s="848" t="s">
        <v>1095</v>
      </c>
      <c r="B7" s="848"/>
      <c r="C7" s="848"/>
    </row>
    <row r="8" spans="1:3" s="2" customFormat="1" ht="17.45" customHeight="1" x14ac:dyDescent="0.3">
      <c r="A8" s="846"/>
      <c r="B8" s="846"/>
      <c r="C8" s="23"/>
    </row>
    <row r="9" spans="1:3" s="2" customFormat="1" ht="6" customHeight="1" x14ac:dyDescent="0.3">
      <c r="A9" s="846"/>
      <c r="B9" s="846"/>
      <c r="C9" s="23"/>
    </row>
    <row r="10" spans="1:3" s="2" customFormat="1" ht="26.45" hidden="1" customHeight="1" x14ac:dyDescent="0.3">
      <c r="A10" s="846"/>
      <c r="B10" s="846"/>
      <c r="C10" s="23"/>
    </row>
    <row r="11" spans="1:3" s="37" customFormat="1" ht="24.75" customHeight="1" x14ac:dyDescent="0.45">
      <c r="A11" s="748" t="s">
        <v>256</v>
      </c>
      <c r="B11" s="748"/>
      <c r="C11" s="748"/>
    </row>
    <row r="12" spans="1:3" s="37" customFormat="1" ht="17.45" customHeight="1" thickBot="1" x14ac:dyDescent="0.35">
      <c r="A12" s="769" t="s">
        <v>1096</v>
      </c>
      <c r="B12" s="769"/>
      <c r="C12" s="769"/>
    </row>
    <row r="13" spans="1:3" s="20" customFormat="1" ht="36.75" customHeight="1" thickBot="1" x14ac:dyDescent="0.4">
      <c r="A13" s="458" t="s">
        <v>5</v>
      </c>
      <c r="B13" s="459" t="s">
        <v>172</v>
      </c>
      <c r="C13" s="460" t="s">
        <v>185</v>
      </c>
    </row>
    <row r="14" spans="1:3" s="19" customFormat="1" ht="15" customHeight="1" thickBot="1" x14ac:dyDescent="0.4">
      <c r="A14" s="789" t="s">
        <v>257</v>
      </c>
      <c r="B14" s="790"/>
      <c r="C14" s="791"/>
    </row>
    <row r="15" spans="1:3" s="19" customFormat="1" ht="23.25" x14ac:dyDescent="0.35">
      <c r="A15" s="58" t="s">
        <v>258</v>
      </c>
      <c r="B15" s="59"/>
      <c r="C15" s="60">
        <v>230</v>
      </c>
    </row>
    <row r="16" spans="1:3" s="19" customFormat="1" ht="23.25" x14ac:dyDescent="0.35">
      <c r="A16" s="58" t="s">
        <v>259</v>
      </c>
      <c r="B16" s="61"/>
      <c r="C16" s="60">
        <v>230</v>
      </c>
    </row>
    <row r="17" spans="1:3" s="19" customFormat="1" ht="23.25" x14ac:dyDescent="0.35">
      <c r="A17" s="58" t="s">
        <v>260</v>
      </c>
      <c r="B17" s="61"/>
      <c r="C17" s="60">
        <v>230</v>
      </c>
    </row>
    <row r="18" spans="1:3" s="19" customFormat="1" ht="23.25" x14ac:dyDescent="0.35">
      <c r="A18" s="58" t="s">
        <v>261</v>
      </c>
      <c r="B18" s="61"/>
      <c r="C18" s="60">
        <v>230</v>
      </c>
    </row>
    <row r="19" spans="1:3" s="19" customFormat="1" ht="23.25" x14ac:dyDescent="0.35">
      <c r="A19" s="58" t="s">
        <v>262</v>
      </c>
      <c r="B19" s="61"/>
      <c r="C19" s="60">
        <v>230</v>
      </c>
    </row>
    <row r="20" spans="1:3" s="19" customFormat="1" ht="23.25" x14ac:dyDescent="0.35">
      <c r="A20" s="58" t="s">
        <v>263</v>
      </c>
      <c r="B20" s="61"/>
      <c r="C20" s="60">
        <v>230</v>
      </c>
    </row>
    <row r="21" spans="1:3" s="19" customFormat="1" ht="23.25" x14ac:dyDescent="0.35">
      <c r="A21" s="58" t="s">
        <v>264</v>
      </c>
      <c r="B21" s="61"/>
      <c r="C21" s="60">
        <v>230</v>
      </c>
    </row>
    <row r="22" spans="1:3" s="19" customFormat="1" ht="24" thickBot="1" x14ac:dyDescent="0.4">
      <c r="A22" s="62" t="s">
        <v>265</v>
      </c>
      <c r="B22" s="61"/>
      <c r="C22" s="60">
        <v>230</v>
      </c>
    </row>
    <row r="23" spans="1:3" s="19" customFormat="1" ht="16.5" customHeight="1" thickBot="1" x14ac:dyDescent="0.4">
      <c r="A23" s="789" t="s">
        <v>266</v>
      </c>
      <c r="B23" s="790"/>
      <c r="C23" s="791"/>
    </row>
    <row r="24" spans="1:3" s="19" customFormat="1" ht="47.45" customHeight="1" thickBot="1" x14ac:dyDescent="0.4">
      <c r="A24" s="30" t="s">
        <v>267</v>
      </c>
      <c r="B24" s="59"/>
      <c r="C24" s="63">
        <v>800</v>
      </c>
    </row>
    <row r="25" spans="1:3" s="19" customFormat="1" ht="47.45" customHeight="1" thickBot="1" x14ac:dyDescent="0.4">
      <c r="A25" s="58" t="s">
        <v>268</v>
      </c>
      <c r="B25" s="61"/>
      <c r="C25" s="63">
        <v>800</v>
      </c>
    </row>
    <row r="26" spans="1:3" s="19" customFormat="1" ht="47.45" customHeight="1" thickBot="1" x14ac:dyDescent="0.4">
      <c r="A26" s="58" t="s">
        <v>269</v>
      </c>
      <c r="B26" s="61"/>
      <c r="C26" s="63">
        <v>800</v>
      </c>
    </row>
    <row r="27" spans="1:3" s="19" customFormat="1" ht="47.45" customHeight="1" thickBot="1" x14ac:dyDescent="0.4">
      <c r="A27" s="62" t="s">
        <v>270</v>
      </c>
      <c r="B27" s="61"/>
      <c r="C27" s="63">
        <v>800</v>
      </c>
    </row>
    <row r="28" spans="1:3" s="19" customFormat="1" ht="16.5" customHeight="1" thickBot="1" x14ac:dyDescent="0.4">
      <c r="A28" s="849" t="s">
        <v>271</v>
      </c>
      <c r="B28" s="850"/>
      <c r="C28" s="851"/>
    </row>
    <row r="29" spans="1:3" s="19" customFormat="1" ht="24.6" customHeight="1" x14ac:dyDescent="0.35">
      <c r="A29" s="302" t="s">
        <v>272</v>
      </c>
      <c r="B29" s="64"/>
      <c r="C29" s="65">
        <v>700</v>
      </c>
    </row>
    <row r="30" spans="1:3" s="19" customFormat="1" ht="24.6" customHeight="1" x14ac:dyDescent="0.35">
      <c r="A30" s="303" t="s">
        <v>273</v>
      </c>
      <c r="B30" s="66"/>
      <c r="C30" s="67">
        <v>900</v>
      </c>
    </row>
    <row r="31" spans="1:3" s="19" customFormat="1" ht="24.6" customHeight="1" x14ac:dyDescent="0.35">
      <c r="A31" s="304" t="s">
        <v>274</v>
      </c>
      <c r="B31" s="66"/>
      <c r="C31" s="68">
        <v>500</v>
      </c>
    </row>
    <row r="32" spans="1:3" s="19" customFormat="1" ht="41.45" customHeight="1" thickBot="1" x14ac:dyDescent="0.4">
      <c r="A32" s="301" t="s">
        <v>275</v>
      </c>
      <c r="B32" s="69"/>
      <c r="C32" s="70">
        <v>550</v>
      </c>
    </row>
    <row r="33" spans="1:3" s="19" customFormat="1" ht="18" customHeight="1" thickBot="1" x14ac:dyDescent="0.4">
      <c r="A33" s="849" t="s">
        <v>276</v>
      </c>
      <c r="B33" s="850"/>
      <c r="C33" s="851"/>
    </row>
    <row r="34" spans="1:3" s="19" customFormat="1" ht="27" customHeight="1" thickBot="1" x14ac:dyDescent="0.4">
      <c r="A34" s="179" t="s">
        <v>277</v>
      </c>
      <c r="B34" s="180"/>
      <c r="C34" s="181">
        <v>7000</v>
      </c>
    </row>
    <row r="35" spans="1:3" s="19" customFormat="1" ht="45.75" customHeight="1" thickBot="1" x14ac:dyDescent="0.4">
      <c r="A35" s="96"/>
      <c r="B35" s="66"/>
      <c r="C35" s="97"/>
    </row>
    <row r="36" spans="1:3" s="19" customFormat="1" ht="26.25" customHeight="1" thickBot="1" x14ac:dyDescent="0.4">
      <c r="A36" s="849" t="s">
        <v>36</v>
      </c>
      <c r="B36" s="850"/>
      <c r="C36" s="851"/>
    </row>
    <row r="37" spans="1:3" s="19" customFormat="1" ht="51" customHeight="1" x14ac:dyDescent="0.35">
      <c r="A37" s="305" t="s">
        <v>278</v>
      </c>
      <c r="B37" s="71"/>
      <c r="C37" s="68">
        <v>2600</v>
      </c>
    </row>
    <row r="38" spans="1:3" s="19" customFormat="1" ht="50.25" customHeight="1" x14ac:dyDescent="0.35">
      <c r="A38" s="305" t="s">
        <v>279</v>
      </c>
      <c r="B38" s="71"/>
      <c r="C38" s="68">
        <v>3100</v>
      </c>
    </row>
    <row r="39" spans="1:3" s="19" customFormat="1" ht="43.5" customHeight="1" x14ac:dyDescent="0.35">
      <c r="A39" s="305" t="s">
        <v>280</v>
      </c>
      <c r="B39" s="71"/>
      <c r="C39" s="68">
        <v>4500</v>
      </c>
    </row>
    <row r="40" spans="1:3" s="19" customFormat="1" ht="43.5" customHeight="1" x14ac:dyDescent="0.35">
      <c r="A40" s="306" t="s">
        <v>281</v>
      </c>
      <c r="B40" s="71"/>
      <c r="C40" s="68">
        <v>700</v>
      </c>
    </row>
    <row r="41" spans="1:3" s="19" customFormat="1" ht="43.5" customHeight="1" x14ac:dyDescent="0.35">
      <c r="A41" s="306" t="s">
        <v>282</v>
      </c>
      <c r="B41" s="71"/>
      <c r="C41" s="68">
        <v>850</v>
      </c>
    </row>
    <row r="42" spans="1:3" s="19" customFormat="1" ht="43.5" customHeight="1" x14ac:dyDescent="0.35">
      <c r="A42" s="306" t="s">
        <v>661</v>
      </c>
      <c r="B42" s="71"/>
      <c r="C42" s="68">
        <v>560</v>
      </c>
    </row>
    <row r="43" spans="1:3" s="19" customFormat="1" ht="43.5" customHeight="1" x14ac:dyDescent="0.35">
      <c r="A43" s="306" t="s">
        <v>283</v>
      </c>
      <c r="B43" s="61"/>
      <c r="C43" s="225">
        <v>700</v>
      </c>
    </row>
    <row r="44" spans="1:3" s="19" customFormat="1" ht="43.5" customHeight="1" x14ac:dyDescent="0.35">
      <c r="A44" s="306" t="s">
        <v>284</v>
      </c>
      <c r="B44" s="72"/>
      <c r="C44" s="225">
        <v>850</v>
      </c>
    </row>
    <row r="45" spans="1:3" s="19" customFormat="1" ht="43.5" customHeight="1" x14ac:dyDescent="0.35">
      <c r="A45" s="306" t="s">
        <v>660</v>
      </c>
      <c r="B45" s="72"/>
      <c r="C45" s="225">
        <v>240</v>
      </c>
    </row>
    <row r="46" spans="1:3" s="19" customFormat="1" ht="43.5" customHeight="1" x14ac:dyDescent="0.35">
      <c r="A46" s="306" t="s">
        <v>285</v>
      </c>
      <c r="B46" s="72"/>
      <c r="C46" s="225">
        <v>300</v>
      </c>
    </row>
    <row r="47" spans="1:3" s="19" customFormat="1" ht="43.5" customHeight="1" x14ac:dyDescent="0.35">
      <c r="A47" s="306" t="s">
        <v>286</v>
      </c>
      <c r="B47" s="61"/>
      <c r="C47" s="225">
        <v>350</v>
      </c>
    </row>
    <row r="48" spans="1:3" s="19" customFormat="1" ht="43.5" customHeight="1" x14ac:dyDescent="0.35">
      <c r="A48" s="306" t="s">
        <v>287</v>
      </c>
      <c r="B48" s="72"/>
      <c r="C48" s="225">
        <v>800</v>
      </c>
    </row>
    <row r="49" spans="1:3" s="19" customFormat="1" ht="43.5" customHeight="1" thickBot="1" x14ac:dyDescent="0.4">
      <c r="A49" s="461" t="s">
        <v>288</v>
      </c>
      <c r="B49" s="61"/>
      <c r="C49" s="462">
        <v>1600</v>
      </c>
    </row>
    <row r="50" spans="1:3" s="19" customFormat="1" ht="25.5" customHeight="1" thickBot="1" x14ac:dyDescent="0.4">
      <c r="A50" s="852" t="s">
        <v>729</v>
      </c>
      <c r="B50" s="853"/>
      <c r="C50" s="854"/>
    </row>
    <row r="51" spans="1:3" s="19" customFormat="1" ht="26.25" customHeight="1" x14ac:dyDescent="0.35">
      <c r="A51" s="463" t="s">
        <v>731</v>
      </c>
      <c r="B51" s="300"/>
      <c r="C51" s="65">
        <v>2000</v>
      </c>
    </row>
    <row r="52" spans="1:3" s="19" customFormat="1" ht="22.5" customHeight="1" x14ac:dyDescent="0.35">
      <c r="A52" s="464" t="s">
        <v>732</v>
      </c>
      <c r="B52" s="300"/>
      <c r="C52" s="68">
        <v>3400</v>
      </c>
    </row>
    <row r="53" spans="1:3" s="19" customFormat="1" ht="25.5" customHeight="1" x14ac:dyDescent="0.35">
      <c r="A53" s="464" t="s">
        <v>1120</v>
      </c>
      <c r="B53" s="300"/>
      <c r="C53" s="68">
        <v>4200</v>
      </c>
    </row>
    <row r="54" spans="1:3" s="19" customFormat="1" ht="24" customHeight="1" x14ac:dyDescent="0.35">
      <c r="A54" s="464" t="s">
        <v>730</v>
      </c>
      <c r="B54" s="300"/>
      <c r="C54" s="68">
        <v>6000</v>
      </c>
    </row>
    <row r="55" spans="1:3" s="19" customFormat="1" ht="24.75" customHeight="1" thickBot="1" x14ac:dyDescent="0.4">
      <c r="A55" s="465" t="s">
        <v>733</v>
      </c>
      <c r="B55" s="300"/>
      <c r="C55" s="70">
        <v>9450</v>
      </c>
    </row>
    <row r="56" spans="1:3" s="19" customFormat="1" ht="24" thickBot="1" x14ac:dyDescent="0.4">
      <c r="A56" s="802" t="s">
        <v>655</v>
      </c>
      <c r="B56" s="803"/>
      <c r="C56" s="804"/>
    </row>
    <row r="57" spans="1:3" s="19" customFormat="1" ht="23.25" x14ac:dyDescent="0.35"/>
    <row r="58" spans="1:3" s="19" customFormat="1" ht="23.25" x14ac:dyDescent="0.35"/>
    <row r="59" spans="1:3" s="19" customFormat="1" ht="23.25" x14ac:dyDescent="0.35"/>
    <row r="60" spans="1:3" s="19" customFormat="1" ht="23.25" x14ac:dyDescent="0.35"/>
    <row r="61" spans="1:3" s="19" customFormat="1" ht="23.25" x14ac:dyDescent="0.35"/>
    <row r="62" spans="1:3" s="19" customFormat="1" ht="23.25" x14ac:dyDescent="0.35"/>
    <row r="63" spans="1:3" s="19" customFormat="1" ht="23.25" x14ac:dyDescent="0.35"/>
    <row r="64" spans="1:3" s="19" customFormat="1" ht="23.25" x14ac:dyDescent="0.35"/>
    <row r="65" s="19" customFormat="1" ht="23.25" x14ac:dyDescent="0.35"/>
    <row r="66" s="19" customFormat="1" ht="23.25" x14ac:dyDescent="0.35"/>
    <row r="67" s="19" customFormat="1" ht="23.25" x14ac:dyDescent="0.35"/>
    <row r="68" s="19" customFormat="1" ht="23.25" x14ac:dyDescent="0.35"/>
    <row r="69" s="19" customFormat="1" ht="23.25" x14ac:dyDescent="0.35"/>
    <row r="70" s="19" customFormat="1" ht="23.25" x14ac:dyDescent="0.35"/>
    <row r="71" s="19" customFormat="1" ht="23.25" x14ac:dyDescent="0.35"/>
    <row r="72" s="19" customFormat="1" ht="23.25" x14ac:dyDescent="0.35"/>
    <row r="73" s="19" customFormat="1" ht="23.25" x14ac:dyDescent="0.35"/>
    <row r="74" s="19" customFormat="1" ht="21.75" customHeight="1" x14ac:dyDescent="0.35"/>
    <row r="75" s="19" customFormat="1" ht="21.75" customHeight="1" x14ac:dyDescent="0.35"/>
    <row r="76" s="19" customFormat="1" ht="21.75" customHeight="1" x14ac:dyDescent="0.35"/>
    <row r="77" s="19" customFormat="1" ht="21.75" customHeight="1" x14ac:dyDescent="0.35"/>
    <row r="78" s="19" customFormat="1" ht="21.75" customHeight="1" x14ac:dyDescent="0.35"/>
    <row r="79" s="19" customFormat="1" ht="21.75" customHeight="1" x14ac:dyDescent="0.35"/>
    <row r="80" s="19" customFormat="1" ht="21.75" customHeight="1" x14ac:dyDescent="0.35"/>
    <row r="81" spans="1:3" s="19" customFormat="1" ht="21.75" customHeight="1" x14ac:dyDescent="0.35"/>
    <row r="82" spans="1:3" s="19" customFormat="1" ht="21.75" customHeight="1" x14ac:dyDescent="0.35"/>
    <row r="83" spans="1:3" s="19" customFormat="1" ht="21.75" customHeight="1" x14ac:dyDescent="0.35"/>
    <row r="84" spans="1:3" s="19" customFormat="1" ht="21.75" customHeight="1" x14ac:dyDescent="0.35"/>
    <row r="85" spans="1:3" s="19" customFormat="1" ht="21.75" customHeight="1" x14ac:dyDescent="0.35"/>
    <row r="86" spans="1:3" s="19" customFormat="1" ht="21.75" customHeight="1" x14ac:dyDescent="0.35"/>
    <row r="87" spans="1:3" s="19" customFormat="1" ht="21.75" customHeight="1" x14ac:dyDescent="0.35"/>
    <row r="88" spans="1:3" s="19" customFormat="1" ht="25.5" customHeight="1" x14ac:dyDescent="0.35"/>
    <row r="89" spans="1:3" s="19" customFormat="1" ht="21.75" customHeight="1" x14ac:dyDescent="0.35"/>
    <row r="90" spans="1:3" s="19" customFormat="1" ht="25.5" customHeight="1" x14ac:dyDescent="0.35"/>
    <row r="91" spans="1:3" s="19" customFormat="1" ht="21.75" customHeight="1" x14ac:dyDescent="0.35"/>
    <row r="92" spans="1:3" s="19" customFormat="1" ht="21.75" customHeight="1" x14ac:dyDescent="0.35"/>
    <row r="93" spans="1:3" s="20" customFormat="1" ht="26.25" customHeight="1" x14ac:dyDescent="0.35">
      <c r="A93" s="19"/>
      <c r="B93" s="19"/>
      <c r="C93" s="19"/>
    </row>
    <row r="94" spans="1:3" s="20" customFormat="1" ht="21.75" customHeight="1" x14ac:dyDescent="0.35"/>
    <row r="95" spans="1:3" s="2" customFormat="1" ht="21.75" customHeight="1" x14ac:dyDescent="0.35">
      <c r="A95" s="20"/>
      <c r="B95" s="20"/>
      <c r="C95" s="20"/>
    </row>
    <row r="96" spans="1:3" s="2" customFormat="1" ht="21.75" customHeight="1" x14ac:dyDescent="0.3"/>
    <row r="97" spans="1:8" ht="21.75" customHeight="1" x14ac:dyDescent="0.3">
      <c r="A97" s="2"/>
      <c r="B97" s="2"/>
      <c r="C97" s="2"/>
    </row>
    <row r="98" spans="1:8" ht="21.75" customHeight="1" x14ac:dyDescent="1.1499999999999999">
      <c r="B98"/>
      <c r="C98"/>
      <c r="H98" s="3"/>
    </row>
    <row r="99" spans="1:8" ht="21.75" customHeight="1" x14ac:dyDescent="0.2">
      <c r="B99"/>
      <c r="C99"/>
    </row>
    <row r="100" spans="1:8" ht="15" customHeight="1" x14ac:dyDescent="0.2">
      <c r="B100"/>
      <c r="C100"/>
    </row>
    <row r="101" spans="1:8" ht="20.25" customHeight="1" x14ac:dyDescent="0.2">
      <c r="B101"/>
      <c r="C101"/>
    </row>
    <row r="102" spans="1:8" x14ac:dyDescent="0.2">
      <c r="B102"/>
      <c r="C102"/>
    </row>
    <row r="103" spans="1:8" x14ac:dyDescent="0.2">
      <c r="B103"/>
      <c r="C103"/>
    </row>
  </sheetData>
  <mergeCells count="17">
    <mergeCell ref="A23:C23"/>
    <mergeCell ref="A28:C28"/>
    <mergeCell ref="A33:C33"/>
    <mergeCell ref="A36:C36"/>
    <mergeCell ref="A56:C56"/>
    <mergeCell ref="A50:C50"/>
    <mergeCell ref="A6:C6"/>
    <mergeCell ref="A11:C11"/>
    <mergeCell ref="A12:C12"/>
    <mergeCell ref="A14:C14"/>
    <mergeCell ref="A1:C1"/>
    <mergeCell ref="A2:C2"/>
    <mergeCell ref="A3:C3"/>
    <mergeCell ref="A4:C4"/>
    <mergeCell ref="A5:C5"/>
    <mergeCell ref="A8:B10"/>
    <mergeCell ref="A7:C7"/>
  </mergeCells>
  <pageMargins left="0.2" right="0.21" top="0.24" bottom="0.24" header="0.24" footer="0.24"/>
  <pageSetup paperSize="9" scale="98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27"/>
  <sheetViews>
    <sheetView topLeftCell="A7" workbookViewId="0">
      <selection activeCell="N88" sqref="N88"/>
    </sheetView>
  </sheetViews>
  <sheetFormatPr defaultColWidth="10" defaultRowHeight="12.75" x14ac:dyDescent="0.2"/>
  <cols>
    <col min="1" max="1" width="6.140625" customWidth="1"/>
    <col min="2" max="2" width="16.28515625" customWidth="1"/>
    <col min="3" max="3" width="6.140625" customWidth="1"/>
    <col min="4" max="4" width="7.28515625" style="145" customWidth="1"/>
    <col min="5" max="5" width="6.28515625" customWidth="1"/>
    <col min="6" max="6" width="7.28515625" customWidth="1"/>
    <col min="7" max="7" width="20.5703125" customWidth="1"/>
    <col min="8" max="8" width="5" customWidth="1"/>
    <col min="9" max="9" width="6.85546875" customWidth="1"/>
  </cols>
  <sheetData>
    <row r="1" spans="1:9" ht="15" customHeight="1" x14ac:dyDescent="0.2">
      <c r="A1" s="856" t="s">
        <v>337</v>
      </c>
      <c r="B1" s="856"/>
      <c r="C1" s="856"/>
      <c r="D1" s="856"/>
      <c r="F1" s="855" t="s">
        <v>338</v>
      </c>
      <c r="G1" s="855"/>
      <c r="H1" s="855"/>
      <c r="I1" s="855"/>
    </row>
    <row r="2" spans="1:9" ht="15" customHeight="1" x14ac:dyDescent="0.2">
      <c r="A2" s="146" t="s">
        <v>339</v>
      </c>
      <c r="B2" s="146" t="s">
        <v>340</v>
      </c>
      <c r="C2" s="147" t="s">
        <v>341</v>
      </c>
      <c r="D2" s="149">
        <v>290</v>
      </c>
      <c r="F2" s="146" t="s">
        <v>342</v>
      </c>
      <c r="G2" s="146" t="s">
        <v>343</v>
      </c>
      <c r="H2" s="147" t="s">
        <v>344</v>
      </c>
      <c r="I2" s="149">
        <v>2</v>
      </c>
    </row>
    <row r="3" spans="1:9" ht="15" customHeight="1" x14ac:dyDescent="0.2">
      <c r="A3" s="146" t="s">
        <v>345</v>
      </c>
      <c r="B3" s="146" t="s">
        <v>346</v>
      </c>
      <c r="C3" s="147" t="s">
        <v>341</v>
      </c>
      <c r="D3" s="149">
        <v>290</v>
      </c>
      <c r="F3" s="146" t="s">
        <v>347</v>
      </c>
      <c r="G3" s="146" t="s">
        <v>348</v>
      </c>
      <c r="H3" s="147" t="s">
        <v>344</v>
      </c>
      <c r="I3" s="149">
        <v>4</v>
      </c>
    </row>
    <row r="4" spans="1:9" ht="15" customHeight="1" x14ac:dyDescent="0.2">
      <c r="A4" s="146" t="s">
        <v>349</v>
      </c>
      <c r="B4" s="146" t="s">
        <v>350</v>
      </c>
      <c r="C4" s="147" t="s">
        <v>341</v>
      </c>
      <c r="D4" s="149">
        <v>290</v>
      </c>
      <c r="F4" s="146" t="s">
        <v>351</v>
      </c>
      <c r="G4" s="146" t="s">
        <v>352</v>
      </c>
      <c r="H4" s="147" t="s">
        <v>344</v>
      </c>
      <c r="I4" s="149">
        <v>7</v>
      </c>
    </row>
    <row r="5" spans="1:9" ht="15" customHeight="1" x14ac:dyDescent="0.2">
      <c r="A5" s="146"/>
      <c r="B5" s="146" t="s">
        <v>721</v>
      </c>
      <c r="C5" s="147" t="s">
        <v>341</v>
      </c>
      <c r="D5" s="149">
        <v>290</v>
      </c>
      <c r="F5" s="146" t="s">
        <v>355</v>
      </c>
      <c r="G5" s="146" t="s">
        <v>356</v>
      </c>
      <c r="H5" s="147" t="s">
        <v>344</v>
      </c>
      <c r="I5" s="149">
        <v>10</v>
      </c>
    </row>
    <row r="6" spans="1:9" ht="15" customHeight="1" x14ac:dyDescent="0.2">
      <c r="A6" s="146" t="s">
        <v>353</v>
      </c>
      <c r="B6" s="146" t="s">
        <v>354</v>
      </c>
      <c r="C6" s="147" t="s">
        <v>341</v>
      </c>
      <c r="D6" s="149">
        <v>290</v>
      </c>
      <c r="F6" s="855" t="s">
        <v>359</v>
      </c>
      <c r="G6" s="855"/>
      <c r="H6" s="855"/>
      <c r="I6" s="855"/>
    </row>
    <row r="7" spans="1:9" ht="15" customHeight="1" x14ac:dyDescent="0.2">
      <c r="A7" s="146" t="s">
        <v>357</v>
      </c>
      <c r="B7" s="146" t="s">
        <v>358</v>
      </c>
      <c r="C7" s="147" t="s">
        <v>341</v>
      </c>
      <c r="D7" s="149">
        <v>290</v>
      </c>
      <c r="F7" s="146" t="s">
        <v>361</v>
      </c>
      <c r="G7" s="146" t="s">
        <v>362</v>
      </c>
      <c r="H7" s="147" t="s">
        <v>344</v>
      </c>
      <c r="I7" s="149">
        <v>70</v>
      </c>
    </row>
    <row r="8" spans="1:9" ht="15" customHeight="1" x14ac:dyDescent="0.2">
      <c r="A8" s="856" t="s">
        <v>360</v>
      </c>
      <c r="B8" s="856"/>
      <c r="C8" s="856"/>
      <c r="D8" s="856"/>
      <c r="F8" s="146" t="s">
        <v>366</v>
      </c>
      <c r="G8" s="146" t="s">
        <v>367</v>
      </c>
      <c r="H8" s="147" t="s">
        <v>344</v>
      </c>
      <c r="I8" s="149">
        <v>70</v>
      </c>
    </row>
    <row r="9" spans="1:9" ht="15" customHeight="1" x14ac:dyDescent="0.2">
      <c r="A9" s="146" t="s">
        <v>363</v>
      </c>
      <c r="B9" s="146" t="s">
        <v>364</v>
      </c>
      <c r="C9" s="147" t="s">
        <v>365</v>
      </c>
      <c r="D9" s="149">
        <v>120</v>
      </c>
      <c r="F9" s="146" t="s">
        <v>370</v>
      </c>
      <c r="G9" s="146" t="s">
        <v>371</v>
      </c>
      <c r="H9" s="147" t="s">
        <v>344</v>
      </c>
      <c r="I9" s="149">
        <v>70</v>
      </c>
    </row>
    <row r="10" spans="1:9" ht="15" customHeight="1" x14ac:dyDescent="0.2">
      <c r="A10" s="146" t="s">
        <v>368</v>
      </c>
      <c r="B10" s="146" t="s">
        <v>369</v>
      </c>
      <c r="C10" s="147" t="s">
        <v>365</v>
      </c>
      <c r="D10" s="149">
        <v>120</v>
      </c>
      <c r="F10" s="146" t="s">
        <v>373</v>
      </c>
      <c r="G10" s="146" t="s">
        <v>374</v>
      </c>
      <c r="H10" s="147" t="s">
        <v>344</v>
      </c>
      <c r="I10" s="149">
        <v>70</v>
      </c>
    </row>
    <row r="11" spans="1:9" ht="15" customHeight="1" x14ac:dyDescent="0.2">
      <c r="A11" s="146" t="s">
        <v>372</v>
      </c>
      <c r="B11" s="146" t="s">
        <v>904</v>
      </c>
      <c r="C11" s="147" t="s">
        <v>365</v>
      </c>
      <c r="D11" s="149">
        <v>120</v>
      </c>
      <c r="F11" s="855" t="s">
        <v>376</v>
      </c>
      <c r="G11" s="855"/>
      <c r="H11" s="855"/>
      <c r="I11" s="855"/>
    </row>
    <row r="12" spans="1:9" ht="15" customHeight="1" x14ac:dyDescent="0.2">
      <c r="A12" s="146" t="s">
        <v>375</v>
      </c>
      <c r="B12" s="146" t="s">
        <v>903</v>
      </c>
      <c r="C12" s="147" t="s">
        <v>365</v>
      </c>
      <c r="D12" s="149">
        <v>120</v>
      </c>
      <c r="F12" s="146" t="s">
        <v>379</v>
      </c>
      <c r="G12" s="146" t="s">
        <v>380</v>
      </c>
      <c r="H12" s="147" t="s">
        <v>341</v>
      </c>
      <c r="I12" s="149">
        <v>400</v>
      </c>
    </row>
    <row r="13" spans="1:9" ht="15" customHeight="1" x14ac:dyDescent="0.2">
      <c r="A13" s="146" t="s">
        <v>377</v>
      </c>
      <c r="B13" s="146" t="s">
        <v>378</v>
      </c>
      <c r="C13" s="147" t="s">
        <v>365</v>
      </c>
      <c r="D13" s="149">
        <v>120</v>
      </c>
      <c r="F13" s="146" t="s">
        <v>382</v>
      </c>
      <c r="G13" s="146" t="s">
        <v>383</v>
      </c>
      <c r="H13" s="147" t="s">
        <v>341</v>
      </c>
      <c r="I13" s="149">
        <v>400</v>
      </c>
    </row>
    <row r="14" spans="1:9" ht="15" customHeight="1" x14ac:dyDescent="0.2">
      <c r="A14" s="856" t="s">
        <v>381</v>
      </c>
      <c r="B14" s="856"/>
      <c r="C14" s="856"/>
      <c r="D14" s="856"/>
      <c r="F14" s="146" t="s">
        <v>386</v>
      </c>
      <c r="G14" s="146" t="s">
        <v>387</v>
      </c>
      <c r="H14" s="147" t="s">
        <v>341</v>
      </c>
      <c r="I14" s="149">
        <v>400</v>
      </c>
    </row>
    <row r="15" spans="1:9" ht="15" customHeight="1" x14ac:dyDescent="0.2">
      <c r="A15" s="146" t="s">
        <v>384</v>
      </c>
      <c r="B15" s="146" t="s">
        <v>385</v>
      </c>
      <c r="C15" s="147" t="s">
        <v>341</v>
      </c>
      <c r="D15" s="149">
        <v>150</v>
      </c>
      <c r="F15" s="146" t="s">
        <v>390</v>
      </c>
      <c r="G15" s="146" t="s">
        <v>391</v>
      </c>
      <c r="H15" s="147" t="s">
        <v>341</v>
      </c>
      <c r="I15" s="149">
        <v>400</v>
      </c>
    </row>
    <row r="16" spans="1:9" ht="15" customHeight="1" x14ac:dyDescent="0.2">
      <c r="A16" s="148" t="s">
        <v>388</v>
      </c>
      <c r="B16" s="146" t="s">
        <v>389</v>
      </c>
      <c r="C16" s="147" t="s">
        <v>341</v>
      </c>
      <c r="D16" s="149">
        <v>150</v>
      </c>
      <c r="F16" s="146" t="s">
        <v>394</v>
      </c>
      <c r="G16" s="146" t="s">
        <v>395</v>
      </c>
      <c r="H16" s="147" t="s">
        <v>341</v>
      </c>
      <c r="I16" s="149">
        <v>400</v>
      </c>
    </row>
    <row r="17" spans="1:9" ht="15" customHeight="1" x14ac:dyDescent="0.2">
      <c r="A17" s="146" t="s">
        <v>392</v>
      </c>
      <c r="B17" s="146" t="s">
        <v>393</v>
      </c>
      <c r="C17" s="147" t="s">
        <v>341</v>
      </c>
      <c r="D17" s="149">
        <v>150</v>
      </c>
      <c r="F17" s="146" t="s">
        <v>398</v>
      </c>
      <c r="G17" s="146" t="s">
        <v>399</v>
      </c>
      <c r="H17" s="147" t="s">
        <v>341</v>
      </c>
      <c r="I17" s="149">
        <v>400</v>
      </c>
    </row>
    <row r="18" spans="1:9" ht="15" customHeight="1" x14ac:dyDescent="0.2">
      <c r="A18" s="146" t="s">
        <v>396</v>
      </c>
      <c r="B18" s="146" t="s">
        <v>397</v>
      </c>
      <c r="C18" s="147" t="s">
        <v>341</v>
      </c>
      <c r="D18" s="149">
        <v>150</v>
      </c>
      <c r="F18" s="146" t="s">
        <v>402</v>
      </c>
      <c r="G18" s="146" t="s">
        <v>403</v>
      </c>
      <c r="H18" s="147" t="s">
        <v>341</v>
      </c>
      <c r="I18" s="149">
        <v>400</v>
      </c>
    </row>
    <row r="19" spans="1:9" ht="15" customHeight="1" x14ac:dyDescent="0.2">
      <c r="A19" s="146" t="s">
        <v>400</v>
      </c>
      <c r="B19" s="146" t="s">
        <v>401</v>
      </c>
      <c r="C19" s="147" t="s">
        <v>341</v>
      </c>
      <c r="D19" s="149">
        <v>140</v>
      </c>
      <c r="F19" s="146" t="s">
        <v>406</v>
      </c>
      <c r="G19" s="146" t="s">
        <v>407</v>
      </c>
      <c r="H19" s="147" t="s">
        <v>341</v>
      </c>
      <c r="I19" s="149">
        <v>400</v>
      </c>
    </row>
    <row r="20" spans="1:9" ht="15" customHeight="1" x14ac:dyDescent="0.2">
      <c r="A20" s="148" t="s">
        <v>404</v>
      </c>
      <c r="B20" s="146" t="s">
        <v>405</v>
      </c>
      <c r="C20" s="147" t="s">
        <v>341</v>
      </c>
      <c r="D20" s="149">
        <v>140</v>
      </c>
      <c r="F20" s="146" t="s">
        <v>410</v>
      </c>
      <c r="G20" s="146" t="s">
        <v>411</v>
      </c>
      <c r="H20" s="147" t="s">
        <v>341</v>
      </c>
      <c r="I20" s="149">
        <v>400</v>
      </c>
    </row>
    <row r="21" spans="1:9" ht="15" customHeight="1" x14ac:dyDescent="0.2">
      <c r="A21" s="146" t="s">
        <v>408</v>
      </c>
      <c r="B21" s="146" t="s">
        <v>409</v>
      </c>
      <c r="C21" s="147" t="s">
        <v>341</v>
      </c>
      <c r="D21" s="149">
        <v>140</v>
      </c>
      <c r="F21" s="146" t="s">
        <v>414</v>
      </c>
      <c r="G21" s="146" t="s">
        <v>415</v>
      </c>
      <c r="H21" s="147" t="s">
        <v>341</v>
      </c>
      <c r="I21" s="149">
        <v>400</v>
      </c>
    </row>
    <row r="22" spans="1:9" ht="15" customHeight="1" x14ac:dyDescent="0.2">
      <c r="A22" s="146" t="s">
        <v>412</v>
      </c>
      <c r="B22" s="146" t="s">
        <v>413</v>
      </c>
      <c r="C22" s="147" t="s">
        <v>341</v>
      </c>
      <c r="D22" s="149">
        <v>140</v>
      </c>
      <c r="F22" s="146" t="s">
        <v>418</v>
      </c>
      <c r="G22" s="146" t="s">
        <v>419</v>
      </c>
      <c r="H22" s="147" t="s">
        <v>341</v>
      </c>
      <c r="I22" s="149">
        <v>400</v>
      </c>
    </row>
    <row r="23" spans="1:9" ht="15" customHeight="1" x14ac:dyDescent="0.2">
      <c r="A23" s="148" t="s">
        <v>416</v>
      </c>
      <c r="B23" s="146" t="s">
        <v>417</v>
      </c>
      <c r="C23" s="147" t="s">
        <v>341</v>
      </c>
      <c r="D23" s="149">
        <v>140</v>
      </c>
      <c r="F23" s="146" t="s">
        <v>422</v>
      </c>
      <c r="G23" s="146" t="s">
        <v>423</v>
      </c>
      <c r="H23" s="147" t="s">
        <v>341</v>
      </c>
      <c r="I23" s="149">
        <v>400</v>
      </c>
    </row>
    <row r="24" spans="1:9" ht="15" customHeight="1" x14ac:dyDescent="0.2">
      <c r="A24" s="146" t="s">
        <v>420</v>
      </c>
      <c r="B24" s="146" t="s">
        <v>421</v>
      </c>
      <c r="C24" s="147" t="s">
        <v>341</v>
      </c>
      <c r="D24" s="149">
        <v>140</v>
      </c>
      <c r="F24" s="146" t="s">
        <v>830</v>
      </c>
      <c r="G24" s="146" t="s">
        <v>426</v>
      </c>
      <c r="H24" s="147" t="s">
        <v>341</v>
      </c>
      <c r="I24" s="149">
        <v>480</v>
      </c>
    </row>
    <row r="25" spans="1:9" ht="15" customHeight="1" x14ac:dyDescent="0.2">
      <c r="A25" s="148" t="s">
        <v>424</v>
      </c>
      <c r="B25" s="146" t="s">
        <v>425</v>
      </c>
      <c r="C25" s="147" t="s">
        <v>341</v>
      </c>
      <c r="D25" s="149">
        <v>140</v>
      </c>
      <c r="F25" s="146" t="s">
        <v>429</v>
      </c>
      <c r="G25" s="146" t="s">
        <v>430</v>
      </c>
      <c r="H25" s="147" t="s">
        <v>341</v>
      </c>
      <c r="I25" s="149">
        <v>480</v>
      </c>
    </row>
    <row r="26" spans="1:9" ht="15" customHeight="1" x14ac:dyDescent="0.2">
      <c r="A26" s="146" t="s">
        <v>427</v>
      </c>
      <c r="B26" s="146" t="s">
        <v>428</v>
      </c>
      <c r="C26" s="147" t="s">
        <v>341</v>
      </c>
      <c r="D26" s="149">
        <v>210</v>
      </c>
      <c r="F26" s="146" t="s">
        <v>433</v>
      </c>
      <c r="G26" s="146" t="s">
        <v>434</v>
      </c>
      <c r="H26" s="147" t="s">
        <v>341</v>
      </c>
      <c r="I26" s="149">
        <v>480</v>
      </c>
    </row>
    <row r="27" spans="1:9" ht="15" customHeight="1" x14ac:dyDescent="0.2">
      <c r="A27" s="146" t="s">
        <v>431</v>
      </c>
      <c r="B27" s="146" t="s">
        <v>432</v>
      </c>
      <c r="C27" s="147" t="s">
        <v>341</v>
      </c>
      <c r="D27" s="149">
        <v>210</v>
      </c>
      <c r="F27" s="146" t="s">
        <v>436</v>
      </c>
      <c r="G27" s="146" t="s">
        <v>437</v>
      </c>
      <c r="H27" s="147" t="s">
        <v>341</v>
      </c>
      <c r="I27" s="149">
        <v>550</v>
      </c>
    </row>
    <row r="28" spans="1:9" ht="15" customHeight="1" x14ac:dyDescent="0.2">
      <c r="A28" s="855" t="s">
        <v>435</v>
      </c>
      <c r="B28" s="855"/>
      <c r="C28" s="855"/>
      <c r="D28" s="855"/>
      <c r="F28" s="146" t="s">
        <v>440</v>
      </c>
      <c r="G28" s="146" t="s">
        <v>441</v>
      </c>
      <c r="H28" s="147" t="s">
        <v>341</v>
      </c>
      <c r="I28" s="149">
        <v>550</v>
      </c>
    </row>
    <row r="29" spans="1:9" ht="15" customHeight="1" x14ac:dyDescent="0.2">
      <c r="A29" s="148" t="s">
        <v>438</v>
      </c>
      <c r="B29" s="146" t="s">
        <v>439</v>
      </c>
      <c r="C29" s="147" t="s">
        <v>344</v>
      </c>
      <c r="D29" s="149">
        <v>4</v>
      </c>
      <c r="F29" s="146" t="s">
        <v>444</v>
      </c>
      <c r="G29" s="146" t="s">
        <v>445</v>
      </c>
      <c r="H29" s="147" t="s">
        <v>341</v>
      </c>
      <c r="I29" s="149">
        <v>550</v>
      </c>
    </row>
    <row r="30" spans="1:9" ht="15" customHeight="1" x14ac:dyDescent="0.2">
      <c r="A30" s="148" t="s">
        <v>442</v>
      </c>
      <c r="B30" s="146" t="s">
        <v>443</v>
      </c>
      <c r="C30" s="147" t="s">
        <v>344</v>
      </c>
      <c r="D30" s="149">
        <v>4</v>
      </c>
      <c r="F30" s="855" t="s">
        <v>448</v>
      </c>
      <c r="G30" s="855"/>
      <c r="H30" s="855"/>
      <c r="I30" s="855"/>
    </row>
    <row r="31" spans="1:9" ht="15" customHeight="1" x14ac:dyDescent="0.2">
      <c r="A31" s="148" t="s">
        <v>446</v>
      </c>
      <c r="B31" s="146" t="s">
        <v>447</v>
      </c>
      <c r="C31" s="147" t="s">
        <v>344</v>
      </c>
      <c r="D31" s="149">
        <v>5</v>
      </c>
      <c r="F31" s="146" t="s">
        <v>451</v>
      </c>
      <c r="G31" s="146" t="s">
        <v>452</v>
      </c>
      <c r="H31" s="147" t="s">
        <v>341</v>
      </c>
      <c r="I31" s="149">
        <v>620</v>
      </c>
    </row>
    <row r="32" spans="1:9" ht="15" customHeight="1" x14ac:dyDescent="0.2">
      <c r="A32" s="146" t="s">
        <v>449</v>
      </c>
      <c r="B32" s="146" t="s">
        <v>450</v>
      </c>
      <c r="C32" s="147" t="s">
        <v>344</v>
      </c>
      <c r="D32" s="149">
        <v>5</v>
      </c>
      <c r="F32" s="146" t="s">
        <v>454</v>
      </c>
      <c r="G32" s="146" t="s">
        <v>455</v>
      </c>
      <c r="H32" s="147" t="s">
        <v>341</v>
      </c>
      <c r="I32" s="149">
        <v>620</v>
      </c>
    </row>
    <row r="33" spans="1:9" ht="15" customHeight="1" x14ac:dyDescent="0.2">
      <c r="A33" s="146" t="s">
        <v>453</v>
      </c>
      <c r="B33" s="146" t="s">
        <v>434</v>
      </c>
      <c r="C33" s="147" t="s">
        <v>344</v>
      </c>
      <c r="D33" s="149">
        <v>8</v>
      </c>
      <c r="F33" s="146" t="s">
        <v>457</v>
      </c>
      <c r="G33" s="146" t="s">
        <v>458</v>
      </c>
      <c r="H33" s="147" t="s">
        <v>341</v>
      </c>
      <c r="I33" s="149">
        <v>620</v>
      </c>
    </row>
    <row r="34" spans="1:9" ht="15" customHeight="1" x14ac:dyDescent="0.2">
      <c r="A34" s="148" t="s">
        <v>456</v>
      </c>
      <c r="B34" s="146" t="s">
        <v>441</v>
      </c>
      <c r="C34" s="147" t="s">
        <v>344</v>
      </c>
      <c r="D34" s="149">
        <v>13</v>
      </c>
      <c r="F34" s="146" t="s">
        <v>461</v>
      </c>
      <c r="G34" s="146" t="s">
        <v>462</v>
      </c>
      <c r="H34" s="147" t="s">
        <v>341</v>
      </c>
      <c r="I34" s="149">
        <v>620</v>
      </c>
    </row>
    <row r="35" spans="1:9" ht="15" customHeight="1" x14ac:dyDescent="0.2">
      <c r="A35" s="148" t="s">
        <v>459</v>
      </c>
      <c r="B35" s="146" t="s">
        <v>460</v>
      </c>
      <c r="C35" s="147" t="s">
        <v>344</v>
      </c>
      <c r="D35" s="149">
        <v>8</v>
      </c>
      <c r="F35" s="146" t="s">
        <v>465</v>
      </c>
      <c r="G35" s="146" t="s">
        <v>466</v>
      </c>
      <c r="H35" s="147" t="s">
        <v>341</v>
      </c>
      <c r="I35" s="149">
        <v>480</v>
      </c>
    </row>
    <row r="36" spans="1:9" ht="15" customHeight="1" x14ac:dyDescent="0.2">
      <c r="A36" s="148" t="s">
        <v>463</v>
      </c>
      <c r="B36" s="146" t="s">
        <v>464</v>
      </c>
      <c r="C36" s="147" t="s">
        <v>344</v>
      </c>
      <c r="D36" s="149">
        <v>9</v>
      </c>
      <c r="F36" s="146" t="s">
        <v>469</v>
      </c>
      <c r="G36" s="146" t="s">
        <v>470</v>
      </c>
      <c r="H36" s="147" t="s">
        <v>341</v>
      </c>
      <c r="I36" s="149">
        <v>480</v>
      </c>
    </row>
    <row r="37" spans="1:9" ht="15" customHeight="1" x14ac:dyDescent="0.2">
      <c r="A37" s="148" t="s">
        <v>467</v>
      </c>
      <c r="B37" s="146" t="s">
        <v>468</v>
      </c>
      <c r="C37" s="147" t="s">
        <v>344</v>
      </c>
      <c r="D37" s="149">
        <v>11</v>
      </c>
      <c r="F37" s="146" t="s">
        <v>473</v>
      </c>
      <c r="G37" s="146" t="s">
        <v>474</v>
      </c>
      <c r="H37" s="147" t="s">
        <v>341</v>
      </c>
      <c r="I37" s="149">
        <v>480</v>
      </c>
    </row>
    <row r="38" spans="1:9" ht="15" customHeight="1" x14ac:dyDescent="0.2">
      <c r="A38" s="146" t="s">
        <v>471</v>
      </c>
      <c r="B38" s="146" t="s">
        <v>472</v>
      </c>
      <c r="C38" s="147" t="s">
        <v>344</v>
      </c>
      <c r="D38" s="149">
        <v>12</v>
      </c>
      <c r="F38" s="146" t="s">
        <v>477</v>
      </c>
      <c r="G38" s="146" t="s">
        <v>478</v>
      </c>
      <c r="H38" s="147" t="s">
        <v>341</v>
      </c>
      <c r="I38" s="149">
        <v>480</v>
      </c>
    </row>
    <row r="39" spans="1:9" ht="15" customHeight="1" x14ac:dyDescent="0.2">
      <c r="A39" s="146" t="s">
        <v>475</v>
      </c>
      <c r="B39" s="146" t="s">
        <v>476</v>
      </c>
      <c r="C39" s="147" t="s">
        <v>344</v>
      </c>
      <c r="D39" s="149">
        <v>14</v>
      </c>
      <c r="F39" s="146" t="s">
        <v>481</v>
      </c>
      <c r="G39" s="146" t="s">
        <v>482</v>
      </c>
      <c r="H39" s="147" t="s">
        <v>341</v>
      </c>
      <c r="I39" s="149">
        <v>480</v>
      </c>
    </row>
    <row r="40" spans="1:9" ht="15" customHeight="1" x14ac:dyDescent="0.2">
      <c r="A40" s="146" t="s">
        <v>479</v>
      </c>
      <c r="B40" s="146" t="s">
        <v>480</v>
      </c>
      <c r="C40" s="147" t="s">
        <v>344</v>
      </c>
      <c r="D40" s="149">
        <v>18</v>
      </c>
      <c r="F40" s="146" t="s">
        <v>485</v>
      </c>
      <c r="G40" s="146" t="s">
        <v>486</v>
      </c>
      <c r="H40" s="147" t="s">
        <v>341</v>
      </c>
      <c r="I40" s="149">
        <v>480</v>
      </c>
    </row>
    <row r="41" spans="1:9" ht="15" customHeight="1" x14ac:dyDescent="0.2">
      <c r="A41" s="146" t="s">
        <v>483</v>
      </c>
      <c r="B41" s="146" t="s">
        <v>484</v>
      </c>
      <c r="C41" s="147" t="s">
        <v>344</v>
      </c>
      <c r="D41" s="149">
        <v>19</v>
      </c>
      <c r="F41" s="146" t="s">
        <v>489</v>
      </c>
      <c r="G41" s="146" t="s">
        <v>490</v>
      </c>
      <c r="H41" s="147" t="s">
        <v>341</v>
      </c>
      <c r="I41" s="149">
        <v>480</v>
      </c>
    </row>
    <row r="42" spans="1:9" ht="15" customHeight="1" x14ac:dyDescent="0.2">
      <c r="A42" s="146" t="s">
        <v>487</v>
      </c>
      <c r="B42" s="146" t="s">
        <v>488</v>
      </c>
      <c r="C42" s="147" t="s">
        <v>344</v>
      </c>
      <c r="D42" s="149">
        <v>23</v>
      </c>
      <c r="F42" s="146" t="s">
        <v>493</v>
      </c>
      <c r="G42" s="146" t="s">
        <v>494</v>
      </c>
      <c r="H42" s="147" t="s">
        <v>341</v>
      </c>
      <c r="I42" s="149">
        <v>480</v>
      </c>
    </row>
    <row r="43" spans="1:9" ht="15" customHeight="1" x14ac:dyDescent="0.2">
      <c r="A43" s="146" t="s">
        <v>491</v>
      </c>
      <c r="B43" s="146" t="s">
        <v>492</v>
      </c>
      <c r="C43" s="147" t="s">
        <v>344</v>
      </c>
      <c r="D43" s="149">
        <v>28</v>
      </c>
      <c r="F43" s="146" t="s">
        <v>497</v>
      </c>
      <c r="G43" s="146" t="s">
        <v>498</v>
      </c>
      <c r="H43" s="147" t="s">
        <v>341</v>
      </c>
      <c r="I43" s="149">
        <v>480</v>
      </c>
    </row>
    <row r="44" spans="1:9" ht="15" customHeight="1" x14ac:dyDescent="0.2">
      <c r="A44" s="146" t="s">
        <v>495</v>
      </c>
      <c r="B44" s="146" t="s">
        <v>496</v>
      </c>
      <c r="C44" s="147" t="s">
        <v>344</v>
      </c>
      <c r="D44" s="149">
        <v>33</v>
      </c>
      <c r="F44" s="146"/>
      <c r="G44" s="146" t="s">
        <v>426</v>
      </c>
      <c r="H44" s="147" t="s">
        <v>341</v>
      </c>
      <c r="I44" s="149">
        <v>480</v>
      </c>
    </row>
    <row r="45" spans="1:9" ht="15" customHeight="1" x14ac:dyDescent="0.2">
      <c r="A45" s="146" t="s">
        <v>499</v>
      </c>
      <c r="B45" s="146" t="s">
        <v>500</v>
      </c>
      <c r="C45" s="147" t="s">
        <v>344</v>
      </c>
      <c r="D45" s="149">
        <v>25</v>
      </c>
      <c r="F45" s="146"/>
      <c r="G45" s="146" t="s">
        <v>430</v>
      </c>
      <c r="H45" s="147" t="s">
        <v>341</v>
      </c>
      <c r="I45" s="149">
        <v>480</v>
      </c>
    </row>
    <row r="46" spans="1:9" ht="15" customHeight="1" x14ac:dyDescent="0.2">
      <c r="A46" s="146" t="s">
        <v>502</v>
      </c>
      <c r="B46" s="146" t="s">
        <v>503</v>
      </c>
      <c r="C46" s="147" t="s">
        <v>344</v>
      </c>
      <c r="D46" s="149">
        <v>28</v>
      </c>
      <c r="F46" s="146" t="s">
        <v>501</v>
      </c>
      <c r="G46" s="146" t="s">
        <v>439</v>
      </c>
      <c r="H46" s="147" t="s">
        <v>341</v>
      </c>
      <c r="I46" s="149">
        <v>480</v>
      </c>
    </row>
    <row r="47" spans="1:9" ht="15" customHeight="1" x14ac:dyDescent="0.2">
      <c r="A47" s="146" t="s">
        <v>505</v>
      </c>
      <c r="B47" s="146" t="s">
        <v>506</v>
      </c>
      <c r="C47" s="147" t="s">
        <v>344</v>
      </c>
      <c r="D47" s="149">
        <v>33</v>
      </c>
      <c r="F47" s="146" t="s">
        <v>504</v>
      </c>
      <c r="G47" s="146" t="s">
        <v>443</v>
      </c>
      <c r="H47" s="147" t="s">
        <v>341</v>
      </c>
      <c r="I47" s="149">
        <v>480</v>
      </c>
    </row>
    <row r="48" spans="1:9" ht="15" customHeight="1" x14ac:dyDescent="0.2">
      <c r="A48" s="146" t="s">
        <v>508</v>
      </c>
      <c r="B48" s="146" t="s">
        <v>509</v>
      </c>
      <c r="C48" s="147" t="s">
        <v>344</v>
      </c>
      <c r="D48" s="149">
        <v>39</v>
      </c>
      <c r="F48" s="146" t="s">
        <v>507</v>
      </c>
      <c r="G48" s="146" t="s">
        <v>447</v>
      </c>
      <c r="H48" s="147" t="s">
        <v>341</v>
      </c>
      <c r="I48" s="149">
        <v>480</v>
      </c>
    </row>
    <row r="49" spans="1:9" ht="15" customHeight="1" x14ac:dyDescent="0.2">
      <c r="A49" s="146" t="s">
        <v>511</v>
      </c>
      <c r="B49" s="146" t="s">
        <v>512</v>
      </c>
      <c r="C49" s="147" t="s">
        <v>344</v>
      </c>
      <c r="D49" s="149">
        <v>40</v>
      </c>
      <c r="F49" s="146" t="s">
        <v>510</v>
      </c>
      <c r="G49" s="146" t="s">
        <v>450</v>
      </c>
      <c r="H49" s="147" t="s">
        <v>341</v>
      </c>
      <c r="I49" s="149">
        <v>480</v>
      </c>
    </row>
    <row r="50" spans="1:9" ht="15" customHeight="1" x14ac:dyDescent="0.2">
      <c r="A50" s="146" t="s">
        <v>515</v>
      </c>
      <c r="B50" s="146" t="s">
        <v>516</v>
      </c>
      <c r="C50" s="147" t="s">
        <v>344</v>
      </c>
      <c r="D50" s="149">
        <v>49</v>
      </c>
      <c r="F50" s="146" t="s">
        <v>513</v>
      </c>
      <c r="G50" s="146" t="s">
        <v>514</v>
      </c>
      <c r="H50" s="147" t="s">
        <v>341</v>
      </c>
      <c r="I50" s="149">
        <v>480</v>
      </c>
    </row>
    <row r="51" spans="1:9" ht="15" customHeight="1" x14ac:dyDescent="0.2">
      <c r="A51" s="146" t="s">
        <v>519</v>
      </c>
      <c r="B51" s="146" t="s">
        <v>520</v>
      </c>
      <c r="C51" s="147" t="s">
        <v>344</v>
      </c>
      <c r="D51" s="149">
        <v>55</v>
      </c>
      <c r="F51" s="146" t="s">
        <v>517</v>
      </c>
      <c r="G51" s="146" t="s">
        <v>518</v>
      </c>
      <c r="H51" s="147" t="s">
        <v>341</v>
      </c>
      <c r="I51" s="149">
        <v>480</v>
      </c>
    </row>
    <row r="52" spans="1:9" ht="15" customHeight="1" x14ac:dyDescent="0.2">
      <c r="A52" s="146" t="s">
        <v>522</v>
      </c>
      <c r="B52" s="146" t="s">
        <v>523</v>
      </c>
      <c r="C52" s="147" t="s">
        <v>344</v>
      </c>
      <c r="D52" s="149">
        <v>60</v>
      </c>
      <c r="F52" s="146" t="s">
        <v>521</v>
      </c>
      <c r="G52" s="146" t="s">
        <v>425</v>
      </c>
      <c r="H52" s="147" t="s">
        <v>341</v>
      </c>
      <c r="I52" s="149">
        <v>480</v>
      </c>
    </row>
    <row r="53" spans="1:9" ht="15" customHeight="1" x14ac:dyDescent="0.2">
      <c r="A53" s="146" t="s">
        <v>524</v>
      </c>
      <c r="B53" s="146" t="s">
        <v>525</v>
      </c>
      <c r="C53" s="147" t="s">
        <v>344</v>
      </c>
      <c r="D53" s="149">
        <v>70</v>
      </c>
      <c r="F53" s="151"/>
      <c r="G53" s="151"/>
      <c r="H53" s="152"/>
      <c r="I53" s="153"/>
    </row>
    <row r="54" spans="1:9" ht="15" customHeight="1" x14ac:dyDescent="0.2">
      <c r="A54" s="146" t="s">
        <v>526</v>
      </c>
      <c r="B54" s="146" t="s">
        <v>527</v>
      </c>
      <c r="C54" s="147" t="s">
        <v>344</v>
      </c>
      <c r="D54" s="149">
        <v>65</v>
      </c>
      <c r="F54" s="151"/>
      <c r="G54" s="151"/>
      <c r="H54" s="152"/>
      <c r="I54" s="153"/>
    </row>
    <row r="55" spans="1:9" ht="15" customHeight="1" x14ac:dyDescent="0.2">
      <c r="A55" s="146" t="s">
        <v>528</v>
      </c>
      <c r="B55" s="146" t="s">
        <v>529</v>
      </c>
      <c r="C55" s="147" t="s">
        <v>344</v>
      </c>
      <c r="D55" s="149">
        <v>80</v>
      </c>
      <c r="F55" s="151"/>
      <c r="G55" s="151"/>
      <c r="H55" s="152"/>
      <c r="I55" s="153"/>
    </row>
    <row r="56" spans="1:9" ht="15" customHeight="1" x14ac:dyDescent="0.2">
      <c r="A56" s="146" t="s">
        <v>530</v>
      </c>
      <c r="B56" s="146" t="s">
        <v>531</v>
      </c>
      <c r="C56" s="147" t="s">
        <v>344</v>
      </c>
      <c r="D56" s="149">
        <v>120</v>
      </c>
    </row>
    <row r="57" spans="1:9" ht="15" customHeight="1" x14ac:dyDescent="0.2">
      <c r="A57" s="151"/>
      <c r="B57" s="151"/>
      <c r="C57" s="152"/>
      <c r="D57" s="153"/>
    </row>
    <row r="58" spans="1:9" ht="15" customHeight="1" x14ac:dyDescent="0.2">
      <c r="A58" s="151"/>
      <c r="B58" s="151"/>
      <c r="C58" s="152"/>
      <c r="D58" s="153"/>
    </row>
    <row r="59" spans="1:9" ht="15" customHeight="1" x14ac:dyDescent="0.2">
      <c r="A59" s="151"/>
      <c r="B59" s="151"/>
      <c r="C59" s="152"/>
      <c r="D59" s="153"/>
    </row>
    <row r="60" spans="1:9" ht="15.6" customHeight="1" x14ac:dyDescent="0.2">
      <c r="A60" s="855" t="s">
        <v>532</v>
      </c>
      <c r="B60" s="855"/>
      <c r="C60" s="855"/>
      <c r="D60" s="855"/>
      <c r="F60" s="855" t="s">
        <v>533</v>
      </c>
      <c r="G60" s="855"/>
      <c r="H60" s="855"/>
      <c r="I60" s="855"/>
    </row>
    <row r="61" spans="1:9" ht="15.6" customHeight="1" x14ac:dyDescent="0.2">
      <c r="A61" s="855"/>
      <c r="B61" s="855"/>
      <c r="C61" s="855"/>
      <c r="D61" s="855"/>
      <c r="F61" s="146" t="s">
        <v>534</v>
      </c>
      <c r="G61" s="146" t="s">
        <v>535</v>
      </c>
      <c r="H61" s="147" t="s">
        <v>344</v>
      </c>
      <c r="I61" s="149">
        <v>30</v>
      </c>
    </row>
    <row r="62" spans="1:9" ht="15.6" customHeight="1" x14ac:dyDescent="0.2">
      <c r="A62" s="146" t="s">
        <v>536</v>
      </c>
      <c r="B62" s="146" t="s">
        <v>380</v>
      </c>
      <c r="C62" s="147" t="s">
        <v>341</v>
      </c>
      <c r="D62" s="149">
        <v>310</v>
      </c>
      <c r="F62" s="146" t="s">
        <v>537</v>
      </c>
      <c r="G62" s="146" t="s">
        <v>538</v>
      </c>
      <c r="H62" s="147" t="s">
        <v>344</v>
      </c>
      <c r="I62" s="149">
        <v>35</v>
      </c>
    </row>
    <row r="63" spans="1:9" ht="15.6" customHeight="1" x14ac:dyDescent="0.2">
      <c r="A63" s="146" t="s">
        <v>539</v>
      </c>
      <c r="B63" s="146" t="s">
        <v>383</v>
      </c>
      <c r="C63" s="147" t="s">
        <v>341</v>
      </c>
      <c r="D63" s="149">
        <v>310</v>
      </c>
      <c r="F63" s="146" t="s">
        <v>540</v>
      </c>
      <c r="G63" s="146" t="s">
        <v>541</v>
      </c>
      <c r="H63" s="147" t="s">
        <v>344</v>
      </c>
      <c r="I63" s="149">
        <v>55</v>
      </c>
    </row>
    <row r="64" spans="1:9" ht="15.6" customHeight="1" x14ac:dyDescent="0.2">
      <c r="A64" s="146" t="s">
        <v>542</v>
      </c>
      <c r="B64" s="146" t="s">
        <v>387</v>
      </c>
      <c r="C64" s="147" t="s">
        <v>341</v>
      </c>
      <c r="D64" s="149">
        <v>310</v>
      </c>
      <c r="F64" s="146" t="s">
        <v>543</v>
      </c>
      <c r="G64" s="146" t="s">
        <v>544</v>
      </c>
      <c r="H64" s="147" t="s">
        <v>344</v>
      </c>
      <c r="I64" s="149">
        <v>75</v>
      </c>
    </row>
    <row r="65" spans="1:9" ht="15.6" customHeight="1" x14ac:dyDescent="0.2">
      <c r="A65" s="146" t="s">
        <v>545</v>
      </c>
      <c r="B65" s="146" t="s">
        <v>546</v>
      </c>
      <c r="C65" s="147" t="s">
        <v>341</v>
      </c>
      <c r="D65" s="149">
        <v>310</v>
      </c>
      <c r="F65" s="146" t="s">
        <v>547</v>
      </c>
      <c r="G65" s="146" t="s">
        <v>548</v>
      </c>
      <c r="H65" s="147" t="s">
        <v>344</v>
      </c>
      <c r="I65" s="149">
        <v>120</v>
      </c>
    </row>
    <row r="66" spans="1:9" ht="15.6" customHeight="1" x14ac:dyDescent="0.2">
      <c r="A66" s="146" t="s">
        <v>549</v>
      </c>
      <c r="B66" s="146" t="s">
        <v>395</v>
      </c>
      <c r="C66" s="147" t="s">
        <v>341</v>
      </c>
      <c r="D66" s="149">
        <v>310</v>
      </c>
      <c r="F66" s="146" t="s">
        <v>550</v>
      </c>
      <c r="G66" s="146" t="s">
        <v>551</v>
      </c>
      <c r="H66" s="147" t="s">
        <v>344</v>
      </c>
      <c r="I66" s="149">
        <v>150</v>
      </c>
    </row>
    <row r="67" spans="1:9" ht="15.6" customHeight="1" x14ac:dyDescent="0.2">
      <c r="A67" s="146" t="s">
        <v>552</v>
      </c>
      <c r="B67" s="146" t="s">
        <v>399</v>
      </c>
      <c r="C67" s="147" t="s">
        <v>341</v>
      </c>
      <c r="D67" s="149">
        <v>310</v>
      </c>
      <c r="F67" s="146" t="s">
        <v>553</v>
      </c>
      <c r="G67" s="146" t="s">
        <v>554</v>
      </c>
      <c r="H67" s="147" t="s">
        <v>344</v>
      </c>
      <c r="I67" s="149">
        <v>170</v>
      </c>
    </row>
    <row r="68" spans="1:9" ht="15.6" customHeight="1" x14ac:dyDescent="0.2">
      <c r="A68" s="146" t="s">
        <v>555</v>
      </c>
      <c r="B68" s="146" t="s">
        <v>403</v>
      </c>
      <c r="C68" s="147" t="s">
        <v>341</v>
      </c>
      <c r="D68" s="149">
        <v>310</v>
      </c>
      <c r="F68" s="855" t="s">
        <v>556</v>
      </c>
      <c r="G68" s="855"/>
      <c r="H68" s="855"/>
      <c r="I68" s="855"/>
    </row>
    <row r="69" spans="1:9" ht="15.6" customHeight="1" x14ac:dyDescent="0.2">
      <c r="A69" s="146" t="s">
        <v>557</v>
      </c>
      <c r="B69" s="146" t="s">
        <v>407</v>
      </c>
      <c r="C69" s="147" t="s">
        <v>341</v>
      </c>
      <c r="D69" s="149">
        <v>310</v>
      </c>
      <c r="F69" s="857" t="s">
        <v>558</v>
      </c>
      <c r="G69" s="857" t="s">
        <v>559</v>
      </c>
      <c r="H69" s="859" t="s">
        <v>344</v>
      </c>
      <c r="I69" s="861">
        <v>760</v>
      </c>
    </row>
    <row r="70" spans="1:9" ht="15.6" customHeight="1" x14ac:dyDescent="0.2">
      <c r="A70" s="146" t="s">
        <v>560</v>
      </c>
      <c r="B70" s="146" t="s">
        <v>411</v>
      </c>
      <c r="C70" s="147" t="s">
        <v>341</v>
      </c>
      <c r="D70" s="149">
        <v>310</v>
      </c>
      <c r="F70" s="858"/>
      <c r="G70" s="858"/>
      <c r="H70" s="860"/>
      <c r="I70" s="862"/>
    </row>
    <row r="71" spans="1:9" ht="15.6" customHeight="1" x14ac:dyDescent="0.2">
      <c r="A71" s="146" t="s">
        <v>561</v>
      </c>
      <c r="B71" s="146" t="s">
        <v>415</v>
      </c>
      <c r="C71" s="147" t="s">
        <v>341</v>
      </c>
      <c r="D71" s="149">
        <v>310</v>
      </c>
      <c r="F71" s="857" t="s">
        <v>562</v>
      </c>
      <c r="G71" s="857" t="s">
        <v>563</v>
      </c>
      <c r="H71" s="859" t="s">
        <v>344</v>
      </c>
      <c r="I71" s="861">
        <v>350</v>
      </c>
    </row>
    <row r="72" spans="1:9" ht="15.6" customHeight="1" x14ac:dyDescent="0.2">
      <c r="A72" s="146" t="s">
        <v>564</v>
      </c>
      <c r="B72" s="146" t="s">
        <v>565</v>
      </c>
      <c r="C72" s="147" t="s">
        <v>341</v>
      </c>
      <c r="D72" s="149">
        <v>310</v>
      </c>
      <c r="F72" s="858"/>
      <c r="G72" s="858"/>
      <c r="H72" s="860"/>
      <c r="I72" s="862"/>
    </row>
    <row r="73" spans="1:9" ht="15.6" customHeight="1" x14ac:dyDescent="0.2">
      <c r="A73" s="146" t="s">
        <v>566</v>
      </c>
      <c r="B73" s="146" t="s">
        <v>567</v>
      </c>
      <c r="C73" s="147" t="s">
        <v>341</v>
      </c>
      <c r="D73" s="149">
        <v>310</v>
      </c>
      <c r="F73" s="857" t="s">
        <v>568</v>
      </c>
      <c r="G73" s="857" t="s">
        <v>569</v>
      </c>
      <c r="H73" s="859" t="s">
        <v>344</v>
      </c>
      <c r="I73" s="861">
        <v>200</v>
      </c>
    </row>
    <row r="74" spans="1:9" ht="15.6" customHeight="1" x14ac:dyDescent="0.2">
      <c r="A74" s="146" t="s">
        <v>570</v>
      </c>
      <c r="B74" s="146" t="s">
        <v>419</v>
      </c>
      <c r="C74" s="147" t="s">
        <v>341</v>
      </c>
      <c r="D74" s="149">
        <v>310</v>
      </c>
      <c r="F74" s="858"/>
      <c r="G74" s="858"/>
      <c r="H74" s="860"/>
      <c r="I74" s="862"/>
    </row>
    <row r="75" spans="1:9" ht="15.6" customHeight="1" x14ac:dyDescent="0.2">
      <c r="A75" s="146" t="s">
        <v>571</v>
      </c>
      <c r="B75" s="146" t="s">
        <v>423</v>
      </c>
      <c r="C75" s="147" t="s">
        <v>341</v>
      </c>
      <c r="D75" s="149">
        <v>310</v>
      </c>
      <c r="F75" s="857" t="s">
        <v>572</v>
      </c>
      <c r="G75" s="857" t="s">
        <v>573</v>
      </c>
      <c r="H75" s="859" t="s">
        <v>344</v>
      </c>
      <c r="I75" s="861">
        <v>600</v>
      </c>
    </row>
    <row r="76" spans="1:9" ht="15.6" customHeight="1" x14ac:dyDescent="0.2">
      <c r="A76" s="146" t="s">
        <v>574</v>
      </c>
      <c r="B76" s="146" t="s">
        <v>575</v>
      </c>
      <c r="C76" s="147" t="s">
        <v>341</v>
      </c>
      <c r="D76" s="149">
        <v>310</v>
      </c>
      <c r="F76" s="858"/>
      <c r="G76" s="858"/>
      <c r="H76" s="860"/>
      <c r="I76" s="862"/>
    </row>
    <row r="77" spans="1:9" ht="15.6" customHeight="1" x14ac:dyDescent="0.2">
      <c r="A77" s="146" t="s">
        <v>576</v>
      </c>
      <c r="B77" s="146" t="s">
        <v>417</v>
      </c>
      <c r="C77" s="147" t="s">
        <v>341</v>
      </c>
      <c r="D77" s="149">
        <v>310</v>
      </c>
      <c r="F77" s="857" t="s">
        <v>577</v>
      </c>
      <c r="G77" s="857" t="s">
        <v>578</v>
      </c>
      <c r="H77" s="859" t="s">
        <v>344</v>
      </c>
      <c r="I77" s="861">
        <v>250</v>
      </c>
    </row>
    <row r="78" spans="1:9" ht="15.6" customHeight="1" x14ac:dyDescent="0.2">
      <c r="A78" s="146" t="s">
        <v>579</v>
      </c>
      <c r="B78" s="146" t="s">
        <v>580</v>
      </c>
      <c r="C78" s="147" t="s">
        <v>341</v>
      </c>
      <c r="D78" s="149">
        <v>310</v>
      </c>
      <c r="F78" s="858"/>
      <c r="G78" s="858"/>
      <c r="H78" s="860"/>
      <c r="I78" s="862"/>
    </row>
    <row r="79" spans="1:9" ht="15.6" customHeight="1" x14ac:dyDescent="0.2">
      <c r="A79" s="146" t="s">
        <v>581</v>
      </c>
      <c r="B79" s="146" t="s">
        <v>582</v>
      </c>
      <c r="C79" s="147" t="s">
        <v>341</v>
      </c>
      <c r="D79" s="149">
        <v>310</v>
      </c>
      <c r="F79" s="855" t="s">
        <v>583</v>
      </c>
      <c r="G79" s="855"/>
      <c r="H79" s="855"/>
      <c r="I79" s="855"/>
    </row>
    <row r="80" spans="1:9" ht="15.6" customHeight="1" x14ac:dyDescent="0.2">
      <c r="A80" s="856" t="s">
        <v>584</v>
      </c>
      <c r="B80" s="856"/>
      <c r="C80" s="856"/>
      <c r="D80" s="856"/>
      <c r="F80" s="146" t="s">
        <v>585</v>
      </c>
      <c r="G80" s="146" t="s">
        <v>586</v>
      </c>
      <c r="H80" s="147" t="s">
        <v>344</v>
      </c>
      <c r="I80" s="149">
        <v>35</v>
      </c>
    </row>
    <row r="81" spans="1:9" ht="15.6" customHeight="1" x14ac:dyDescent="0.2">
      <c r="A81" s="146" t="s">
        <v>587</v>
      </c>
      <c r="B81" s="146" t="s">
        <v>588</v>
      </c>
      <c r="C81" s="147" t="s">
        <v>344</v>
      </c>
      <c r="D81" s="149">
        <v>25</v>
      </c>
      <c r="F81" s="146" t="s">
        <v>589</v>
      </c>
      <c r="G81" s="146" t="s">
        <v>590</v>
      </c>
      <c r="H81" s="147" t="s">
        <v>344</v>
      </c>
      <c r="I81" s="149">
        <v>33</v>
      </c>
    </row>
    <row r="82" spans="1:9" ht="15.6" customHeight="1" x14ac:dyDescent="0.2">
      <c r="A82" s="146" t="s">
        <v>591</v>
      </c>
      <c r="B82" s="146" t="s">
        <v>592</v>
      </c>
      <c r="C82" s="147" t="s">
        <v>344</v>
      </c>
      <c r="D82" s="149">
        <v>60</v>
      </c>
      <c r="F82" s="146" t="s">
        <v>593</v>
      </c>
      <c r="G82" s="146" t="s">
        <v>594</v>
      </c>
      <c r="H82" s="147" t="s">
        <v>344</v>
      </c>
      <c r="I82" s="149">
        <v>35</v>
      </c>
    </row>
    <row r="83" spans="1:9" ht="15.6" customHeight="1" x14ac:dyDescent="0.2">
      <c r="A83" s="146" t="s">
        <v>595</v>
      </c>
      <c r="B83" s="146" t="s">
        <v>596</v>
      </c>
      <c r="C83" s="147" t="s">
        <v>344</v>
      </c>
      <c r="D83" s="149">
        <v>50</v>
      </c>
      <c r="F83" s="146" t="s">
        <v>597</v>
      </c>
      <c r="G83" s="146" t="s">
        <v>598</v>
      </c>
      <c r="H83" s="147" t="s">
        <v>344</v>
      </c>
      <c r="I83" s="149">
        <v>40</v>
      </c>
    </row>
    <row r="84" spans="1:9" ht="15.6" customHeight="1" x14ac:dyDescent="0.2">
      <c r="A84" s="146" t="s">
        <v>599</v>
      </c>
      <c r="B84" s="146" t="s">
        <v>600</v>
      </c>
      <c r="C84" s="147" t="s">
        <v>344</v>
      </c>
      <c r="D84" s="149">
        <v>80</v>
      </c>
      <c r="F84" s="146" t="s">
        <v>601</v>
      </c>
      <c r="G84" s="146" t="s">
        <v>602</v>
      </c>
      <c r="H84" s="147" t="s">
        <v>344</v>
      </c>
      <c r="I84" s="149">
        <v>45</v>
      </c>
    </row>
    <row r="85" spans="1:9" ht="15.6" customHeight="1" x14ac:dyDescent="0.2">
      <c r="A85" s="146" t="s">
        <v>603</v>
      </c>
      <c r="B85" s="146" t="s">
        <v>604</v>
      </c>
      <c r="C85" s="147" t="s">
        <v>344</v>
      </c>
      <c r="D85" s="149">
        <v>120</v>
      </c>
      <c r="F85" s="146" t="s">
        <v>605</v>
      </c>
      <c r="G85" s="146" t="s">
        <v>606</v>
      </c>
      <c r="H85" s="147" t="s">
        <v>344</v>
      </c>
      <c r="I85" s="149">
        <v>50</v>
      </c>
    </row>
    <row r="86" spans="1:9" ht="15.6" customHeight="1" x14ac:dyDescent="0.2">
      <c r="A86" s="146" t="s">
        <v>607</v>
      </c>
      <c r="B86" s="146" t="s">
        <v>608</v>
      </c>
      <c r="C86" s="147" t="s">
        <v>344</v>
      </c>
      <c r="D86" s="149">
        <v>160</v>
      </c>
      <c r="F86" s="146" t="s">
        <v>609</v>
      </c>
      <c r="G86" s="146" t="s">
        <v>610</v>
      </c>
      <c r="H86" s="147" t="s">
        <v>344</v>
      </c>
      <c r="I86" s="149">
        <v>55</v>
      </c>
    </row>
    <row r="87" spans="1:9" ht="15.6" customHeight="1" x14ac:dyDescent="0.2">
      <c r="A87" s="146" t="s">
        <v>611</v>
      </c>
      <c r="B87" s="146" t="s">
        <v>612</v>
      </c>
      <c r="C87" s="147" t="s">
        <v>344</v>
      </c>
      <c r="D87" s="149">
        <v>230</v>
      </c>
      <c r="F87" s="146" t="s">
        <v>613</v>
      </c>
      <c r="G87" s="146" t="s">
        <v>614</v>
      </c>
      <c r="H87" s="147" t="s">
        <v>344</v>
      </c>
      <c r="I87" s="149">
        <v>60</v>
      </c>
    </row>
    <row r="88" spans="1:9" ht="15.6" customHeight="1" x14ac:dyDescent="0.2">
      <c r="A88" s="855" t="s">
        <v>615</v>
      </c>
      <c r="B88" s="855"/>
      <c r="C88" s="855"/>
      <c r="D88" s="855"/>
      <c r="F88" s="146" t="s">
        <v>616</v>
      </c>
      <c r="G88" s="146" t="s">
        <v>617</v>
      </c>
      <c r="H88" s="147" t="s">
        <v>344</v>
      </c>
      <c r="I88" s="149">
        <v>65</v>
      </c>
    </row>
    <row r="89" spans="1:9" ht="15.6" customHeight="1" x14ac:dyDescent="0.2">
      <c r="A89" s="146" t="s">
        <v>618</v>
      </c>
      <c r="B89" s="146" t="s">
        <v>619</v>
      </c>
      <c r="C89" s="147" t="s">
        <v>344</v>
      </c>
      <c r="D89" s="149">
        <v>20</v>
      </c>
      <c r="F89" s="637" t="s">
        <v>361</v>
      </c>
      <c r="G89" s="146" t="s">
        <v>1094</v>
      </c>
      <c r="H89" s="147" t="s">
        <v>344</v>
      </c>
      <c r="I89" s="149">
        <v>500</v>
      </c>
    </row>
    <row r="90" spans="1:9" ht="15.6" customHeight="1" x14ac:dyDescent="0.2">
      <c r="A90" s="146" t="s">
        <v>620</v>
      </c>
      <c r="B90" s="146" t="s">
        <v>621</v>
      </c>
      <c r="C90" s="147" t="s">
        <v>344</v>
      </c>
      <c r="D90" s="149">
        <v>15</v>
      </c>
    </row>
    <row r="91" spans="1:9" ht="15.6" customHeight="1" x14ac:dyDescent="0.2">
      <c r="A91" s="146" t="s">
        <v>622</v>
      </c>
      <c r="B91" s="146" t="s">
        <v>623</v>
      </c>
      <c r="C91" s="147" t="s">
        <v>344</v>
      </c>
      <c r="D91" s="149">
        <v>25</v>
      </c>
    </row>
    <row r="92" spans="1:9" ht="15.6" customHeight="1" x14ac:dyDescent="0.2">
      <c r="A92" s="146" t="s">
        <v>624</v>
      </c>
      <c r="B92" s="146" t="s">
        <v>625</v>
      </c>
      <c r="C92" s="147" t="s">
        <v>344</v>
      </c>
      <c r="D92" s="149">
        <v>35</v>
      </c>
    </row>
    <row r="93" spans="1:9" ht="15.6" customHeight="1" x14ac:dyDescent="0.2">
      <c r="A93" s="855" t="s">
        <v>626</v>
      </c>
      <c r="B93" s="855"/>
      <c r="C93" s="855"/>
      <c r="D93" s="855"/>
    </row>
    <row r="94" spans="1:9" ht="15.6" customHeight="1" x14ac:dyDescent="0.2">
      <c r="A94" s="146" t="s">
        <v>627</v>
      </c>
      <c r="B94" s="146" t="s">
        <v>588</v>
      </c>
      <c r="C94" s="147" t="s">
        <v>344</v>
      </c>
      <c r="D94" s="149">
        <v>20</v>
      </c>
    </row>
    <row r="95" spans="1:9" ht="15.6" customHeight="1" x14ac:dyDescent="0.2">
      <c r="A95" s="146" t="s">
        <v>628</v>
      </c>
      <c r="B95" s="146" t="s">
        <v>592</v>
      </c>
      <c r="C95" s="147" t="s">
        <v>344</v>
      </c>
      <c r="D95" s="149">
        <v>50</v>
      </c>
    </row>
    <row r="96" spans="1:9" ht="15.6" customHeight="1" x14ac:dyDescent="0.2">
      <c r="A96" s="146" t="s">
        <v>629</v>
      </c>
      <c r="B96" s="146" t="s">
        <v>596</v>
      </c>
      <c r="C96" s="147" t="s">
        <v>344</v>
      </c>
      <c r="D96" s="149">
        <v>45</v>
      </c>
    </row>
    <row r="97" spans="1:4" ht="15.6" customHeight="1" x14ac:dyDescent="0.2">
      <c r="A97" s="146" t="s">
        <v>630</v>
      </c>
      <c r="B97" s="146" t="s">
        <v>600</v>
      </c>
      <c r="C97" s="147" t="s">
        <v>344</v>
      </c>
      <c r="D97" s="149">
        <v>70</v>
      </c>
    </row>
    <row r="98" spans="1:4" ht="15.6" customHeight="1" x14ac:dyDescent="0.2">
      <c r="A98" s="146" t="s">
        <v>631</v>
      </c>
      <c r="B98" s="146" t="s">
        <v>604</v>
      </c>
      <c r="C98" s="147" t="s">
        <v>344</v>
      </c>
      <c r="D98" s="149">
        <v>110</v>
      </c>
    </row>
    <row r="99" spans="1:4" ht="15.6" customHeight="1" x14ac:dyDescent="0.2">
      <c r="A99" s="856" t="s">
        <v>632</v>
      </c>
      <c r="B99" s="856"/>
      <c r="C99" s="856"/>
      <c r="D99" s="856"/>
    </row>
    <row r="100" spans="1:4" ht="15.6" customHeight="1" x14ac:dyDescent="0.2">
      <c r="A100" s="146" t="s">
        <v>633</v>
      </c>
      <c r="B100" s="146" t="s">
        <v>634</v>
      </c>
      <c r="C100" s="147" t="s">
        <v>344</v>
      </c>
      <c r="D100" s="149">
        <v>130</v>
      </c>
    </row>
    <row r="101" spans="1:4" ht="15.6" customHeight="1" x14ac:dyDescent="0.2">
      <c r="A101" s="146" t="s">
        <v>635</v>
      </c>
      <c r="B101" s="146" t="s">
        <v>636</v>
      </c>
      <c r="C101" s="147" t="s">
        <v>344</v>
      </c>
      <c r="D101" s="149">
        <v>140</v>
      </c>
    </row>
    <row r="102" spans="1:4" ht="15.6" customHeight="1" x14ac:dyDescent="0.2">
      <c r="A102" s="146" t="s">
        <v>637</v>
      </c>
      <c r="B102" s="146" t="s">
        <v>638</v>
      </c>
      <c r="C102" s="147" t="s">
        <v>344</v>
      </c>
      <c r="D102" s="149">
        <v>150</v>
      </c>
    </row>
    <row r="103" spans="1:4" ht="15.6" customHeight="1" x14ac:dyDescent="0.2">
      <c r="A103" s="146" t="s">
        <v>639</v>
      </c>
      <c r="B103" s="146" t="s">
        <v>640</v>
      </c>
      <c r="C103" s="147" t="s">
        <v>344</v>
      </c>
      <c r="D103" s="149">
        <v>180</v>
      </c>
    </row>
    <row r="104" spans="1:4" ht="15.6" customHeight="1" x14ac:dyDescent="0.2">
      <c r="A104" s="146" t="s">
        <v>641</v>
      </c>
      <c r="B104" s="146" t="s">
        <v>642</v>
      </c>
      <c r="C104" s="147" t="s">
        <v>344</v>
      </c>
      <c r="D104" s="149">
        <v>200</v>
      </c>
    </row>
    <row r="105" spans="1:4" ht="15.6" customHeight="1" x14ac:dyDescent="0.2">
      <c r="A105" s="146" t="s">
        <v>643</v>
      </c>
      <c r="B105" s="146" t="s">
        <v>644</v>
      </c>
      <c r="C105" s="147" t="s">
        <v>344</v>
      </c>
      <c r="D105" s="149">
        <v>200</v>
      </c>
    </row>
    <row r="106" spans="1:4" ht="15.6" customHeight="1" x14ac:dyDescent="0.2">
      <c r="A106" s="146" t="s">
        <v>645</v>
      </c>
      <c r="B106" s="146" t="s">
        <v>646</v>
      </c>
      <c r="C106" s="147" t="s">
        <v>344</v>
      </c>
      <c r="D106" s="149">
        <v>150</v>
      </c>
    </row>
    <row r="107" spans="1:4" ht="15.6" customHeight="1" x14ac:dyDescent="0.2">
      <c r="A107" s="146" t="s">
        <v>647</v>
      </c>
      <c r="B107" s="146" t="s">
        <v>548</v>
      </c>
      <c r="C107" s="147" t="s">
        <v>344</v>
      </c>
      <c r="D107" s="149">
        <v>200</v>
      </c>
    </row>
    <row r="108" spans="1:4" ht="15.6" customHeight="1" x14ac:dyDescent="0.2">
      <c r="A108" s="146" t="s">
        <v>648</v>
      </c>
      <c r="B108" s="146" t="s">
        <v>649</v>
      </c>
      <c r="C108" s="147" t="s">
        <v>344</v>
      </c>
      <c r="D108" s="149">
        <v>240</v>
      </c>
    </row>
    <row r="109" spans="1:4" ht="15.6" customHeight="1" x14ac:dyDescent="0.2"/>
    <row r="110" spans="1:4" ht="16.899999999999999" customHeight="1" x14ac:dyDescent="0.2"/>
    <row r="111" spans="1:4" ht="16.899999999999999" customHeight="1" x14ac:dyDescent="0.2"/>
    <row r="112" spans="1:4" ht="16.899999999999999" customHeight="1" x14ac:dyDescent="0.2"/>
    <row r="113" ht="16.899999999999999" customHeight="1" x14ac:dyDescent="0.2"/>
    <row r="114" ht="16.899999999999999" customHeight="1" x14ac:dyDescent="0.2"/>
    <row r="115" ht="16.899999999999999" customHeight="1" x14ac:dyDescent="0.2"/>
    <row r="116" ht="16.899999999999999" customHeight="1" x14ac:dyDescent="0.2"/>
    <row r="117" ht="16.899999999999999" customHeight="1" x14ac:dyDescent="0.2"/>
    <row r="118" ht="16.899999999999999" customHeight="1" x14ac:dyDescent="0.2"/>
    <row r="119" ht="16.899999999999999" customHeight="1" x14ac:dyDescent="0.2"/>
    <row r="120" ht="16.899999999999999" customHeight="1" x14ac:dyDescent="0.2"/>
    <row r="121" ht="16.899999999999999" customHeight="1" x14ac:dyDescent="0.2"/>
    <row r="122" ht="16.899999999999999" customHeight="1" x14ac:dyDescent="0.2"/>
    <row r="123" ht="16.899999999999999" customHeight="1" x14ac:dyDescent="0.2"/>
    <row r="124" ht="16.899999999999999" customHeight="1" x14ac:dyDescent="0.2"/>
    <row r="125" ht="16.899999999999999" customHeight="1" x14ac:dyDescent="0.2"/>
    <row r="126" ht="16.899999999999999" customHeight="1" x14ac:dyDescent="0.2"/>
    <row r="127" ht="16.899999999999999" customHeight="1" x14ac:dyDescent="0.2"/>
  </sheetData>
  <mergeCells count="36">
    <mergeCell ref="A60:D61"/>
    <mergeCell ref="F75:F76"/>
    <mergeCell ref="G75:G76"/>
    <mergeCell ref="H75:H76"/>
    <mergeCell ref="I75:I76"/>
    <mergeCell ref="F60:I60"/>
    <mergeCell ref="F68:I68"/>
    <mergeCell ref="F77:F78"/>
    <mergeCell ref="G77:G78"/>
    <mergeCell ref="H77:H78"/>
    <mergeCell ref="I77:I78"/>
    <mergeCell ref="A93:D93"/>
    <mergeCell ref="A99:D99"/>
    <mergeCell ref="G69:G70"/>
    <mergeCell ref="H69:H70"/>
    <mergeCell ref="I69:I70"/>
    <mergeCell ref="F69:F70"/>
    <mergeCell ref="G71:G72"/>
    <mergeCell ref="F71:F72"/>
    <mergeCell ref="H71:H72"/>
    <mergeCell ref="I71:I72"/>
    <mergeCell ref="F79:I79"/>
    <mergeCell ref="A80:D80"/>
    <mergeCell ref="A88:D88"/>
    <mergeCell ref="I73:I74"/>
    <mergeCell ref="H73:H74"/>
    <mergeCell ref="G73:G74"/>
    <mergeCell ref="F73:F74"/>
    <mergeCell ref="F1:I1"/>
    <mergeCell ref="F6:I6"/>
    <mergeCell ref="F11:I11"/>
    <mergeCell ref="F30:I30"/>
    <mergeCell ref="A28:D28"/>
    <mergeCell ref="A14:D14"/>
    <mergeCell ref="A8:D8"/>
    <mergeCell ref="A1:D1"/>
  </mergeCells>
  <phoneticPr fontId="3" type="noConversion"/>
  <pageMargins left="0.70899999999999996" right="0.70899999999999996" top="0.19700000000000001" bottom="0.19700000000000001" header="0.315" footer="0.315"/>
  <pageSetup paperSize="9" scale="9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30"/>
  <sheetViews>
    <sheetView zoomScale="85" zoomScaleNormal="85" workbookViewId="0">
      <selection activeCell="L12" sqref="L12"/>
    </sheetView>
  </sheetViews>
  <sheetFormatPr defaultColWidth="10" defaultRowHeight="12.75" x14ac:dyDescent="0.2"/>
  <cols>
    <col min="1" max="1" width="33.5703125" style="5" customWidth="1"/>
    <col min="2" max="2" width="52.42578125" style="5" customWidth="1"/>
    <col min="3" max="3" width="19.42578125" style="5" customWidth="1"/>
    <col min="4" max="4" width="37.85546875" style="5" customWidth="1"/>
    <col min="5" max="5" width="21.42578125" style="433" customWidth="1"/>
  </cols>
  <sheetData>
    <row r="1" spans="1:8" ht="20.25" x14ac:dyDescent="0.3">
      <c r="A1" s="712" t="s">
        <v>0</v>
      </c>
      <c r="B1" s="712"/>
      <c r="C1" s="712"/>
      <c r="D1" s="712"/>
      <c r="E1" s="712"/>
    </row>
    <row r="2" spans="1:8" ht="20.25" x14ac:dyDescent="0.3">
      <c r="A2" s="712" t="s">
        <v>1</v>
      </c>
      <c r="B2" s="712"/>
      <c r="C2" s="712"/>
      <c r="D2" s="712"/>
      <c r="E2" s="712"/>
    </row>
    <row r="3" spans="1:8" ht="20.25" x14ac:dyDescent="0.3">
      <c r="A3" s="712" t="s">
        <v>102</v>
      </c>
      <c r="B3" s="712"/>
      <c r="C3" s="712"/>
      <c r="D3" s="712"/>
      <c r="E3" s="712"/>
    </row>
    <row r="4" spans="1:8" s="426" customFormat="1" ht="20.25" x14ac:dyDescent="0.2">
      <c r="A4" s="718" t="s">
        <v>920</v>
      </c>
      <c r="B4" s="718"/>
      <c r="C4" s="718"/>
      <c r="D4" s="718"/>
      <c r="E4" s="718"/>
    </row>
    <row r="5" spans="1:8" s="426" customFormat="1" ht="20.25" x14ac:dyDescent="0.2">
      <c r="A5" s="718" t="s">
        <v>1105</v>
      </c>
      <c r="B5" s="718"/>
      <c r="C5" s="718"/>
      <c r="D5" s="718"/>
      <c r="E5" s="718"/>
    </row>
    <row r="6" spans="1:8" s="426" customFormat="1" ht="20.25" x14ac:dyDescent="0.2">
      <c r="A6" s="718" t="s">
        <v>37</v>
      </c>
      <c r="B6" s="718"/>
      <c r="C6" s="718"/>
      <c r="D6" s="718"/>
      <c r="E6" s="718"/>
    </row>
    <row r="7" spans="1:8" s="426" customFormat="1" ht="20.25" x14ac:dyDescent="0.2">
      <c r="A7" s="877" t="s">
        <v>1095</v>
      </c>
      <c r="B7" s="877"/>
      <c r="C7" s="877"/>
      <c r="D7" s="877"/>
      <c r="E7" s="877"/>
    </row>
    <row r="8" spans="1:8" s="427" customFormat="1" ht="19.5" customHeight="1" thickBot="1" x14ac:dyDescent="0.3">
      <c r="A8" s="863" t="s">
        <v>1151</v>
      </c>
      <c r="B8" s="863"/>
      <c r="C8" s="863"/>
      <c r="D8" s="863"/>
      <c r="E8" s="864"/>
    </row>
    <row r="9" spans="1:8" s="425" customFormat="1" ht="81.75" customHeight="1" thickBot="1" x14ac:dyDescent="0.4">
      <c r="A9" s="526"/>
      <c r="B9" s="499"/>
      <c r="C9" s="499"/>
      <c r="D9" s="527" t="s">
        <v>929</v>
      </c>
      <c r="E9" s="871" t="s">
        <v>931</v>
      </c>
      <c r="H9" s="428"/>
    </row>
    <row r="10" spans="1:8" s="425" customFormat="1" ht="18.75" customHeight="1" thickBot="1" x14ac:dyDescent="0.3">
      <c r="A10" s="529" t="s">
        <v>1014</v>
      </c>
      <c r="B10" s="514" t="s">
        <v>1015</v>
      </c>
      <c r="C10" s="514" t="s">
        <v>1010</v>
      </c>
      <c r="D10" s="518" t="s">
        <v>921</v>
      </c>
      <c r="E10" s="872"/>
    </row>
    <row r="11" spans="1:8" s="425" customFormat="1" ht="106.5" customHeight="1" x14ac:dyDescent="0.25">
      <c r="A11" s="530"/>
      <c r="B11" s="531" t="s">
        <v>911</v>
      </c>
      <c r="C11" s="532">
        <f>D11/(0.95*1.95)</f>
        <v>523.61673414304994</v>
      </c>
      <c r="D11" s="533">
        <v>970</v>
      </c>
      <c r="E11" s="534" t="s">
        <v>934</v>
      </c>
    </row>
    <row r="12" spans="1:8" s="425" customFormat="1" ht="106.5" customHeight="1" x14ac:dyDescent="0.25">
      <c r="A12" s="522"/>
      <c r="B12" s="524" t="s">
        <v>912</v>
      </c>
      <c r="C12" s="519">
        <f>D12/(0.95*1.95)</f>
        <v>523.61673414304994</v>
      </c>
      <c r="D12" s="515">
        <v>970</v>
      </c>
      <c r="E12" s="512" t="s">
        <v>934</v>
      </c>
    </row>
    <row r="13" spans="1:8" s="425" customFormat="1" ht="106.5" customHeight="1" x14ac:dyDescent="0.25">
      <c r="A13" s="522"/>
      <c r="B13" s="524" t="s">
        <v>913</v>
      </c>
      <c r="C13" s="519">
        <f>D13/(0.95*1.95)</f>
        <v>531.71390013495284</v>
      </c>
      <c r="D13" s="516">
        <v>985</v>
      </c>
      <c r="E13" s="500" t="s">
        <v>933</v>
      </c>
    </row>
    <row r="14" spans="1:8" s="425" customFormat="1" ht="106.5" customHeight="1" thickBot="1" x14ac:dyDescent="0.3">
      <c r="A14" s="523"/>
      <c r="B14" s="525" t="s">
        <v>914</v>
      </c>
      <c r="C14" s="520">
        <f>D14/(0.95*1.95)</f>
        <v>531.71390013495284</v>
      </c>
      <c r="D14" s="517">
        <v>985</v>
      </c>
      <c r="E14" s="513" t="s">
        <v>933</v>
      </c>
    </row>
    <row r="15" spans="1:8" s="425" customFormat="1" ht="21" customHeight="1" thickBot="1" x14ac:dyDescent="0.3">
      <c r="A15" s="498" t="s">
        <v>915</v>
      </c>
      <c r="B15" s="499"/>
      <c r="C15" s="521" t="s">
        <v>1015</v>
      </c>
      <c r="D15" s="518" t="s">
        <v>185</v>
      </c>
      <c r="E15" s="514" t="s">
        <v>931</v>
      </c>
    </row>
    <row r="16" spans="1:8" s="425" customFormat="1" ht="51.75" customHeight="1" x14ac:dyDescent="0.25">
      <c r="A16" s="869"/>
      <c r="B16" s="870" t="s">
        <v>1004</v>
      </c>
      <c r="C16" s="505" t="s">
        <v>922</v>
      </c>
      <c r="D16" s="502">
        <v>476</v>
      </c>
      <c r="E16" s="875" t="s">
        <v>934</v>
      </c>
    </row>
    <row r="17" spans="1:5" s="425" customFormat="1" ht="23.25" customHeight="1" x14ac:dyDescent="0.25">
      <c r="A17" s="866"/>
      <c r="B17" s="868"/>
      <c r="C17" s="506" t="s">
        <v>916</v>
      </c>
      <c r="D17" s="503">
        <v>493</v>
      </c>
      <c r="E17" s="876"/>
    </row>
    <row r="18" spans="1:5" s="425" customFormat="1" ht="49.5" customHeight="1" x14ac:dyDescent="0.25">
      <c r="A18" s="865"/>
      <c r="B18" s="867" t="s">
        <v>995</v>
      </c>
      <c r="C18" s="506" t="s">
        <v>922</v>
      </c>
      <c r="D18" s="503">
        <v>476</v>
      </c>
      <c r="E18" s="873" t="s">
        <v>933</v>
      </c>
    </row>
    <row r="19" spans="1:5" s="425" customFormat="1" ht="24" customHeight="1" x14ac:dyDescent="0.25">
      <c r="A19" s="866"/>
      <c r="B19" s="868"/>
      <c r="C19" s="506" t="s">
        <v>916</v>
      </c>
      <c r="D19" s="503">
        <v>493</v>
      </c>
      <c r="E19" s="874"/>
    </row>
    <row r="20" spans="1:5" s="425" customFormat="1" ht="51" customHeight="1" x14ac:dyDescent="0.25">
      <c r="A20" s="865"/>
      <c r="B20" s="867" t="s">
        <v>1005</v>
      </c>
      <c r="C20" s="506" t="s">
        <v>922</v>
      </c>
      <c r="D20" s="503">
        <v>476</v>
      </c>
      <c r="E20" s="873" t="s">
        <v>933</v>
      </c>
    </row>
    <row r="21" spans="1:5" s="425" customFormat="1" ht="21.75" customHeight="1" x14ac:dyDescent="0.25">
      <c r="A21" s="866"/>
      <c r="B21" s="868"/>
      <c r="C21" s="506" t="s">
        <v>916</v>
      </c>
      <c r="D21" s="503">
        <v>493</v>
      </c>
      <c r="E21" s="874"/>
    </row>
    <row r="22" spans="1:5" s="425" customFormat="1" ht="79.5" customHeight="1" x14ac:dyDescent="0.25">
      <c r="A22" s="508"/>
      <c r="B22" s="510" t="s">
        <v>1006</v>
      </c>
      <c r="C22" s="506" t="s">
        <v>917</v>
      </c>
      <c r="D22" s="503">
        <v>625</v>
      </c>
      <c r="E22" s="500" t="s">
        <v>933</v>
      </c>
    </row>
    <row r="23" spans="1:5" s="425" customFormat="1" ht="63" customHeight="1" x14ac:dyDescent="0.25">
      <c r="A23" s="508"/>
      <c r="B23" s="510" t="s">
        <v>1007</v>
      </c>
      <c r="C23" s="506" t="s">
        <v>918</v>
      </c>
      <c r="D23" s="503">
        <v>64</v>
      </c>
      <c r="E23" s="500" t="s">
        <v>933</v>
      </c>
    </row>
    <row r="24" spans="1:5" s="425" customFormat="1" ht="72" customHeight="1" x14ac:dyDescent="0.25">
      <c r="A24" s="508"/>
      <c r="B24" s="510" t="s">
        <v>999</v>
      </c>
      <c r="C24" s="506" t="s">
        <v>923</v>
      </c>
      <c r="D24" s="503">
        <v>340</v>
      </c>
      <c r="E24" s="500" t="s">
        <v>933</v>
      </c>
    </row>
    <row r="25" spans="1:5" s="425" customFormat="1" ht="79.5" customHeight="1" x14ac:dyDescent="0.25">
      <c r="A25" s="508"/>
      <c r="B25" s="510" t="s">
        <v>1008</v>
      </c>
      <c r="C25" s="506" t="s">
        <v>917</v>
      </c>
      <c r="D25" s="503">
        <v>6338</v>
      </c>
      <c r="E25" s="500" t="s">
        <v>933</v>
      </c>
    </row>
    <row r="26" spans="1:5" s="425" customFormat="1" ht="78.75" x14ac:dyDescent="0.25">
      <c r="A26" s="508"/>
      <c r="B26" s="510" t="s">
        <v>1009</v>
      </c>
      <c r="C26" s="506" t="s">
        <v>917</v>
      </c>
      <c r="D26" s="503">
        <v>3988</v>
      </c>
      <c r="E26" s="500" t="s">
        <v>933</v>
      </c>
    </row>
    <row r="27" spans="1:5" s="425" customFormat="1" ht="69" customHeight="1" thickBot="1" x14ac:dyDescent="0.3">
      <c r="A27" s="509"/>
      <c r="B27" s="511" t="s">
        <v>1002</v>
      </c>
      <c r="C27" s="507" t="s">
        <v>932</v>
      </c>
      <c r="D27" s="504">
        <v>2475</v>
      </c>
      <c r="E27" s="501" t="s">
        <v>933</v>
      </c>
    </row>
    <row r="30" spans="1:5" x14ac:dyDescent="0.2">
      <c r="D30" s="593"/>
    </row>
  </sheetData>
  <mergeCells count="18">
    <mergeCell ref="A1:E1"/>
    <mergeCell ref="A2:E2"/>
    <mergeCell ref="A3:E3"/>
    <mergeCell ref="A4:E4"/>
    <mergeCell ref="A5:E5"/>
    <mergeCell ref="A6:E6"/>
    <mergeCell ref="A8:E8"/>
    <mergeCell ref="A20:A21"/>
    <mergeCell ref="B20:B21"/>
    <mergeCell ref="A16:A17"/>
    <mergeCell ref="B16:B17"/>
    <mergeCell ref="A18:A19"/>
    <mergeCell ref="B18:B19"/>
    <mergeCell ref="E9:E10"/>
    <mergeCell ref="E18:E19"/>
    <mergeCell ref="E20:E21"/>
    <mergeCell ref="E16:E17"/>
    <mergeCell ref="A7:E7"/>
  </mergeCells>
  <pageMargins left="0.28999999999999998" right="0.17" top="0.36" bottom="0.26" header="0.23" footer="0.17"/>
  <pageSetup paperSize="9" scale="59" fitToWidth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7"/>
  <sheetViews>
    <sheetView zoomScale="85" zoomScaleNormal="85" workbookViewId="0">
      <selection activeCell="A6" sqref="A6:E6"/>
    </sheetView>
  </sheetViews>
  <sheetFormatPr defaultColWidth="10" defaultRowHeight="12.75" x14ac:dyDescent="0.2"/>
  <cols>
    <col min="1" max="1" width="32.5703125" style="5" customWidth="1"/>
    <col min="2" max="2" width="52.42578125" style="5" customWidth="1"/>
    <col min="3" max="3" width="19.42578125" style="5" customWidth="1"/>
    <col min="4" max="4" width="37.5703125" style="5" customWidth="1"/>
    <col min="5" max="5" width="21.42578125" style="433" customWidth="1"/>
  </cols>
  <sheetData>
    <row r="1" spans="1:5" ht="20.25" x14ac:dyDescent="0.3">
      <c r="A1" s="712" t="s">
        <v>0</v>
      </c>
      <c r="B1" s="712"/>
      <c r="C1" s="712"/>
      <c r="D1" s="712"/>
      <c r="E1" s="712"/>
    </row>
    <row r="2" spans="1:5" ht="20.25" x14ac:dyDescent="0.3">
      <c r="A2" s="712" t="s">
        <v>1</v>
      </c>
      <c r="B2" s="712"/>
      <c r="C2" s="712"/>
      <c r="D2" s="712"/>
      <c r="E2" s="712"/>
    </row>
    <row r="3" spans="1:5" ht="20.25" x14ac:dyDescent="0.3">
      <c r="A3" s="712" t="s">
        <v>102</v>
      </c>
      <c r="B3" s="712"/>
      <c r="C3" s="712"/>
      <c r="D3" s="712"/>
      <c r="E3" s="712"/>
    </row>
    <row r="4" spans="1:5" ht="20.25" x14ac:dyDescent="0.2">
      <c r="A4" s="718" t="s">
        <v>920</v>
      </c>
      <c r="B4" s="718"/>
      <c r="C4" s="718"/>
      <c r="D4" s="718"/>
      <c r="E4" s="718"/>
    </row>
    <row r="5" spans="1:5" ht="20.25" x14ac:dyDescent="0.2">
      <c r="A5" s="718" t="s">
        <v>1105</v>
      </c>
      <c r="B5" s="718"/>
      <c r="C5" s="718"/>
      <c r="D5" s="718"/>
      <c r="E5" s="718"/>
    </row>
    <row r="6" spans="1:5" ht="20.25" x14ac:dyDescent="0.2">
      <c r="A6" s="718" t="s">
        <v>37</v>
      </c>
      <c r="B6" s="718"/>
      <c r="C6" s="718"/>
      <c r="D6" s="718"/>
      <c r="E6" s="718"/>
    </row>
    <row r="7" spans="1:5" ht="20.25" x14ac:dyDescent="0.2">
      <c r="A7" s="877" t="s">
        <v>1095</v>
      </c>
      <c r="B7" s="877"/>
      <c r="C7" s="877"/>
      <c r="D7" s="877"/>
      <c r="E7" s="877"/>
    </row>
    <row r="8" spans="1:5" ht="21" thickBot="1" x14ac:dyDescent="0.25">
      <c r="A8" s="863" t="s">
        <v>1096</v>
      </c>
      <c r="B8" s="863"/>
      <c r="C8" s="863"/>
      <c r="D8" s="863"/>
      <c r="E8" s="864"/>
    </row>
    <row r="9" spans="1:5" ht="81.75" customHeight="1" thickBot="1" x14ac:dyDescent="0.25">
      <c r="A9" s="883"/>
      <c r="B9" s="884"/>
      <c r="C9" s="528"/>
      <c r="D9" s="527" t="s">
        <v>930</v>
      </c>
      <c r="E9" s="871" t="s">
        <v>931</v>
      </c>
    </row>
    <row r="10" spans="1:5" ht="22.5" thickBot="1" x14ac:dyDescent="0.25">
      <c r="A10" s="529" t="s">
        <v>1014</v>
      </c>
      <c r="B10" s="518" t="s">
        <v>1015</v>
      </c>
      <c r="C10" s="518" t="s">
        <v>1010</v>
      </c>
      <c r="D10" s="518" t="s">
        <v>921</v>
      </c>
      <c r="E10" s="872"/>
    </row>
    <row r="11" spans="1:5" ht="106.5" customHeight="1" x14ac:dyDescent="0.2">
      <c r="A11" s="542"/>
      <c r="B11" s="539" t="s">
        <v>924</v>
      </c>
      <c r="C11" s="536">
        <f>D11/(0.96*1.95)</f>
        <v>550.21367521367529</v>
      </c>
      <c r="D11" s="536">
        <v>1030</v>
      </c>
      <c r="E11" s="535" t="s">
        <v>933</v>
      </c>
    </row>
    <row r="12" spans="1:5" ht="106.5" customHeight="1" x14ac:dyDescent="0.2">
      <c r="A12" s="522"/>
      <c r="B12" s="540" t="s">
        <v>925</v>
      </c>
      <c r="C12" s="515">
        <f>D12/(0.96*1.95)</f>
        <v>550.21367521367529</v>
      </c>
      <c r="D12" s="515">
        <v>1030</v>
      </c>
      <c r="E12" s="500" t="s">
        <v>933</v>
      </c>
    </row>
    <row r="13" spans="1:5" ht="106.5" customHeight="1" x14ac:dyDescent="0.2">
      <c r="A13" s="522"/>
      <c r="B13" s="540" t="s">
        <v>926</v>
      </c>
      <c r="C13" s="515">
        <f>D13/(0.96*1.95)</f>
        <v>550.21367521367529</v>
      </c>
      <c r="D13" s="515">
        <v>1030</v>
      </c>
      <c r="E13" s="500" t="s">
        <v>933</v>
      </c>
    </row>
    <row r="14" spans="1:5" ht="106.5" customHeight="1" thickBot="1" x14ac:dyDescent="0.25">
      <c r="A14" s="543"/>
      <c r="B14" s="541" t="s">
        <v>927</v>
      </c>
      <c r="C14" s="538">
        <f>D14/(0.96*1.95)</f>
        <v>571.58119658119665</v>
      </c>
      <c r="D14" s="537">
        <v>1070</v>
      </c>
      <c r="E14" s="501" t="s">
        <v>933</v>
      </c>
    </row>
    <row r="15" spans="1:5" ht="21" customHeight="1" thickBot="1" x14ac:dyDescent="0.25">
      <c r="A15" s="498" t="s">
        <v>928</v>
      </c>
      <c r="B15" s="544"/>
      <c r="C15" s="529" t="s">
        <v>1015</v>
      </c>
      <c r="D15" s="518" t="s">
        <v>185</v>
      </c>
      <c r="E15" s="514" t="s">
        <v>931</v>
      </c>
    </row>
    <row r="16" spans="1:5" ht="48.75" customHeight="1" x14ac:dyDescent="0.2">
      <c r="A16" s="879"/>
      <c r="B16" s="881" t="s">
        <v>994</v>
      </c>
      <c r="C16" s="505" t="s">
        <v>922</v>
      </c>
      <c r="D16" s="502">
        <v>476</v>
      </c>
      <c r="E16" s="878" t="s">
        <v>933</v>
      </c>
    </row>
    <row r="17" spans="1:5" ht="20.25" x14ac:dyDescent="0.2">
      <c r="A17" s="880"/>
      <c r="B17" s="882"/>
      <c r="C17" s="506" t="s">
        <v>916</v>
      </c>
      <c r="D17" s="503">
        <v>493</v>
      </c>
      <c r="E17" s="874"/>
    </row>
    <row r="18" spans="1:5" ht="51" customHeight="1" x14ac:dyDescent="0.2">
      <c r="A18" s="880"/>
      <c r="B18" s="882" t="s">
        <v>995</v>
      </c>
      <c r="C18" s="506" t="s">
        <v>922</v>
      </c>
      <c r="D18" s="503">
        <v>476</v>
      </c>
      <c r="E18" s="873" t="s">
        <v>933</v>
      </c>
    </row>
    <row r="19" spans="1:5" ht="20.25" x14ac:dyDescent="0.2">
      <c r="A19" s="880"/>
      <c r="B19" s="882"/>
      <c r="C19" s="506" t="s">
        <v>916</v>
      </c>
      <c r="D19" s="503">
        <v>493</v>
      </c>
      <c r="E19" s="874"/>
    </row>
    <row r="20" spans="1:5" ht="50.25" customHeight="1" x14ac:dyDescent="0.2">
      <c r="A20" s="880"/>
      <c r="B20" s="882" t="s">
        <v>996</v>
      </c>
      <c r="C20" s="506" t="s">
        <v>922</v>
      </c>
      <c r="D20" s="503">
        <v>476</v>
      </c>
      <c r="E20" s="873" t="s">
        <v>933</v>
      </c>
    </row>
    <row r="21" spans="1:5" ht="20.25" x14ac:dyDescent="0.2">
      <c r="A21" s="880"/>
      <c r="B21" s="882"/>
      <c r="C21" s="506" t="s">
        <v>916</v>
      </c>
      <c r="D21" s="503">
        <v>493</v>
      </c>
      <c r="E21" s="874"/>
    </row>
    <row r="22" spans="1:5" ht="79.5" customHeight="1" x14ac:dyDescent="0.2">
      <c r="A22" s="508"/>
      <c r="B22" s="510" t="s">
        <v>997</v>
      </c>
      <c r="C22" s="506" t="s">
        <v>917</v>
      </c>
      <c r="D22" s="503">
        <v>686</v>
      </c>
      <c r="E22" s="500" t="s">
        <v>933</v>
      </c>
    </row>
    <row r="23" spans="1:5" ht="63" x14ac:dyDescent="0.2">
      <c r="A23" s="545"/>
      <c r="B23" s="510" t="s">
        <v>998</v>
      </c>
      <c r="C23" s="506" t="s">
        <v>918</v>
      </c>
      <c r="D23" s="503">
        <v>99</v>
      </c>
      <c r="E23" s="500" t="s">
        <v>933</v>
      </c>
    </row>
    <row r="24" spans="1:5" ht="67.5" customHeight="1" x14ac:dyDescent="0.2">
      <c r="A24" s="508"/>
      <c r="B24" s="510" t="s">
        <v>999</v>
      </c>
      <c r="C24" s="506" t="s">
        <v>923</v>
      </c>
      <c r="D24" s="503">
        <v>340</v>
      </c>
      <c r="E24" s="500" t="s">
        <v>933</v>
      </c>
    </row>
    <row r="25" spans="1:5" ht="78.75" x14ac:dyDescent="0.2">
      <c r="A25" s="508"/>
      <c r="B25" s="510" t="s">
        <v>1000</v>
      </c>
      <c r="C25" s="506" t="s">
        <v>917</v>
      </c>
      <c r="D25" s="503">
        <v>6724</v>
      </c>
      <c r="E25" s="500" t="s">
        <v>933</v>
      </c>
    </row>
    <row r="26" spans="1:5" ht="78.75" x14ac:dyDescent="0.2">
      <c r="A26" s="545"/>
      <c r="B26" s="510" t="s">
        <v>1001</v>
      </c>
      <c r="C26" s="506" t="s">
        <v>917</v>
      </c>
      <c r="D26" s="503">
        <v>4386</v>
      </c>
      <c r="E26" s="500" t="s">
        <v>933</v>
      </c>
    </row>
    <row r="27" spans="1:5" ht="69" customHeight="1" thickBot="1" x14ac:dyDescent="0.25">
      <c r="A27" s="509"/>
      <c r="B27" s="511" t="s">
        <v>1002</v>
      </c>
      <c r="C27" s="507" t="s">
        <v>919</v>
      </c>
      <c r="D27" s="504">
        <v>2475</v>
      </c>
      <c r="E27" s="501" t="s">
        <v>933</v>
      </c>
    </row>
  </sheetData>
  <mergeCells count="19">
    <mergeCell ref="A7:E7"/>
    <mergeCell ref="A6:E6"/>
    <mergeCell ref="A1:E1"/>
    <mergeCell ref="A2:E2"/>
    <mergeCell ref="A3:E3"/>
    <mergeCell ref="A4:E4"/>
    <mergeCell ref="A5:E5"/>
    <mergeCell ref="E16:E17"/>
    <mergeCell ref="E18:E19"/>
    <mergeCell ref="E20:E21"/>
    <mergeCell ref="A8:E8"/>
    <mergeCell ref="A16:A17"/>
    <mergeCell ref="B16:B17"/>
    <mergeCell ref="A18:A19"/>
    <mergeCell ref="B18:B19"/>
    <mergeCell ref="A20:A21"/>
    <mergeCell ref="B20:B21"/>
    <mergeCell ref="E9:E10"/>
    <mergeCell ref="A9:B9"/>
  </mergeCells>
  <pageMargins left="0.27" right="0.2" top="0.37" bottom="0.24" header="0.22" footer="0.17"/>
  <pageSetup paperSize="9" scale="60" fitToWidth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40"/>
  <sheetViews>
    <sheetView workbookViewId="0">
      <selection activeCell="L16" sqref="L16"/>
    </sheetView>
  </sheetViews>
  <sheetFormatPr defaultColWidth="10" defaultRowHeight="12.75" x14ac:dyDescent="0.2"/>
  <cols>
    <col min="1" max="1" width="10.42578125" customWidth="1"/>
    <col min="2" max="2" width="39.7109375" customWidth="1"/>
    <col min="3" max="3" width="23.7109375" customWidth="1"/>
    <col min="4" max="4" width="24.7109375" customWidth="1"/>
    <col min="5" max="5" width="17" customWidth="1"/>
    <col min="6" max="6" width="19.5703125" customWidth="1"/>
  </cols>
  <sheetData>
    <row r="1" spans="2:8" s="9" customFormat="1" ht="17.45" customHeight="1" x14ac:dyDescent="0.2">
      <c r="B1" s="776" t="s">
        <v>0</v>
      </c>
      <c r="C1" s="776"/>
      <c r="D1" s="776"/>
      <c r="E1" s="776"/>
      <c r="F1" s="24"/>
      <c r="G1" s="24"/>
      <c r="H1" s="24"/>
    </row>
    <row r="2" spans="2:8" s="9" customFormat="1" ht="17.45" customHeight="1" x14ac:dyDescent="0.2">
      <c r="B2" s="776" t="s">
        <v>324</v>
      </c>
      <c r="C2" s="776"/>
      <c r="D2" s="776"/>
      <c r="E2" s="776"/>
      <c r="F2" s="24"/>
      <c r="G2" s="24"/>
      <c r="H2" s="24"/>
    </row>
    <row r="3" spans="2:8" s="9" customFormat="1" ht="17.45" customHeight="1" x14ac:dyDescent="0.2">
      <c r="B3" s="776" t="s">
        <v>2</v>
      </c>
      <c r="C3" s="776"/>
      <c r="D3" s="776"/>
      <c r="E3" s="776"/>
      <c r="F3" s="24"/>
      <c r="G3" s="24"/>
      <c r="H3" s="24"/>
    </row>
    <row r="4" spans="2:8" s="9" customFormat="1" ht="17.45" customHeight="1" x14ac:dyDescent="0.2">
      <c r="B4" s="776" t="s">
        <v>194</v>
      </c>
      <c r="C4" s="776"/>
      <c r="D4" s="776"/>
      <c r="E4" s="776"/>
      <c r="F4" s="14"/>
      <c r="G4" s="24"/>
      <c r="H4" s="246"/>
    </row>
    <row r="5" spans="2:8" s="9" customFormat="1" ht="17.45" customHeight="1" x14ac:dyDescent="0.2">
      <c r="B5" s="776" t="s">
        <v>1105</v>
      </c>
      <c r="C5" s="776"/>
      <c r="D5" s="776"/>
      <c r="E5" s="776"/>
      <c r="F5" s="14"/>
      <c r="G5" s="24"/>
      <c r="H5" s="246"/>
    </row>
    <row r="6" spans="2:8" s="9" customFormat="1" ht="17.45" customHeight="1" x14ac:dyDescent="0.2">
      <c r="B6" s="776" t="s">
        <v>325</v>
      </c>
      <c r="C6" s="776"/>
      <c r="D6" s="776"/>
      <c r="E6" s="776"/>
      <c r="F6" s="123"/>
      <c r="G6" s="230"/>
      <c r="H6" s="24"/>
    </row>
    <row r="7" spans="2:8" s="9" customFormat="1" ht="16.149999999999999" customHeight="1" x14ac:dyDescent="0.2">
      <c r="B7" s="773" t="s">
        <v>1095</v>
      </c>
      <c r="C7" s="773"/>
      <c r="D7" s="773"/>
      <c r="E7" s="773"/>
      <c r="F7" s="123"/>
      <c r="G7" s="230"/>
      <c r="H7" s="24"/>
    </row>
    <row r="8" spans="2:8" ht="17.25" customHeight="1" thickBot="1" x14ac:dyDescent="0.35">
      <c r="B8" s="814" t="s">
        <v>1151</v>
      </c>
      <c r="C8" s="814"/>
      <c r="D8" s="814"/>
      <c r="E8" s="814"/>
      <c r="F8" s="8"/>
      <c r="G8" s="5"/>
      <c r="H8" s="6"/>
    </row>
    <row r="9" spans="2:8" s="9" customFormat="1" ht="30" customHeight="1" thickBot="1" x14ac:dyDescent="0.25">
      <c r="B9" s="751" t="s">
        <v>326</v>
      </c>
      <c r="C9" s="752"/>
      <c r="D9" s="752"/>
      <c r="E9" s="753"/>
      <c r="F9" s="123"/>
      <c r="G9" s="230"/>
      <c r="H9" s="24"/>
    </row>
    <row r="10" spans="2:8" s="9" customFormat="1" ht="56.45" customHeight="1" thickBot="1" x14ac:dyDescent="0.25">
      <c r="B10" s="488" t="s">
        <v>668</v>
      </c>
      <c r="C10" s="489" t="s">
        <v>676</v>
      </c>
      <c r="D10" s="490" t="s">
        <v>675</v>
      </c>
      <c r="E10" s="491" t="s">
        <v>674</v>
      </c>
      <c r="F10" s="123"/>
      <c r="G10" s="230"/>
      <c r="H10" s="24"/>
    </row>
    <row r="11" spans="2:8" s="9" customFormat="1" ht="25.9" customHeight="1" thickBot="1" x14ac:dyDescent="0.25">
      <c r="B11" s="894" t="s">
        <v>672</v>
      </c>
      <c r="C11" s="895"/>
      <c r="D11" s="895"/>
      <c r="E11" s="896"/>
      <c r="F11" s="123"/>
      <c r="G11" s="230"/>
      <c r="H11" s="24"/>
    </row>
    <row r="12" spans="2:8" s="229" customFormat="1" ht="21" customHeight="1" x14ac:dyDescent="0.2">
      <c r="B12" s="227" t="s">
        <v>327</v>
      </c>
      <c r="C12" s="236">
        <v>20000</v>
      </c>
      <c r="D12" s="242">
        <f>0.025*0.05*2*C12</f>
        <v>50.000000000000007</v>
      </c>
      <c r="E12" s="244">
        <v>400</v>
      </c>
      <c r="F12" s="123"/>
      <c r="H12" s="14"/>
    </row>
    <row r="13" spans="2:8" s="229" customFormat="1" ht="21" customHeight="1" x14ac:dyDescent="0.2">
      <c r="B13" s="227" t="s">
        <v>328</v>
      </c>
      <c r="C13" s="236">
        <v>20000</v>
      </c>
      <c r="D13" s="242">
        <f>0.025*0.05*3*C13</f>
        <v>75.000000000000014</v>
      </c>
      <c r="E13" s="244">
        <v>266.60000000000002</v>
      </c>
      <c r="F13" s="639"/>
      <c r="H13" s="638"/>
    </row>
    <row r="14" spans="2:8" s="229" customFormat="1" ht="21" customHeight="1" x14ac:dyDescent="0.2">
      <c r="B14" s="227" t="s">
        <v>329</v>
      </c>
      <c r="C14" s="236">
        <v>20000</v>
      </c>
      <c r="D14" s="242">
        <f>0.03*0.05*3*C14</f>
        <v>90.000000000000014</v>
      </c>
      <c r="E14" s="244">
        <v>222.2</v>
      </c>
      <c r="F14" s="123"/>
      <c r="H14" s="14"/>
    </row>
    <row r="15" spans="2:8" s="229" customFormat="1" ht="21" customHeight="1" x14ac:dyDescent="0.2">
      <c r="B15" s="227" t="s">
        <v>330</v>
      </c>
      <c r="C15" s="236">
        <v>20000</v>
      </c>
      <c r="D15" s="242">
        <f>0.04*0.04*3*C15</f>
        <v>96.000000000000014</v>
      </c>
      <c r="E15" s="244">
        <v>208.3</v>
      </c>
      <c r="F15" s="123"/>
      <c r="H15" s="14"/>
    </row>
    <row r="16" spans="2:8" s="229" customFormat="1" ht="21" customHeight="1" x14ac:dyDescent="0.2">
      <c r="B16" s="227" t="s">
        <v>331</v>
      </c>
      <c r="C16" s="236">
        <v>20000</v>
      </c>
      <c r="D16" s="242">
        <f>0.04*0.05*3*C16</f>
        <v>120</v>
      </c>
      <c r="E16" s="244">
        <v>166.6</v>
      </c>
      <c r="F16" s="123"/>
      <c r="H16" s="14"/>
    </row>
    <row r="17" spans="2:8" s="9" customFormat="1" ht="21" customHeight="1" x14ac:dyDescent="0.2">
      <c r="B17" s="227" t="s">
        <v>8</v>
      </c>
      <c r="C17" s="236">
        <v>20000</v>
      </c>
      <c r="D17" s="242">
        <f>0.05*0.05*3*C17</f>
        <v>150.00000000000003</v>
      </c>
      <c r="E17" s="244">
        <v>133.30000000000001</v>
      </c>
      <c r="F17" s="123"/>
      <c r="G17" s="230"/>
      <c r="H17" s="24"/>
    </row>
    <row r="18" spans="2:8" s="9" customFormat="1" ht="21" customHeight="1" x14ac:dyDescent="0.2">
      <c r="B18" s="241" t="s">
        <v>332</v>
      </c>
      <c r="C18" s="290">
        <v>18000</v>
      </c>
      <c r="D18" s="362">
        <f>0.05*0.07*3*C18</f>
        <v>189.00000000000006</v>
      </c>
      <c r="E18" s="245">
        <v>95.2</v>
      </c>
      <c r="F18" s="123"/>
      <c r="G18" s="230"/>
      <c r="H18" s="24"/>
    </row>
    <row r="19" spans="2:8" s="9" customFormat="1" ht="21" customHeight="1" thickBot="1" x14ac:dyDescent="0.25">
      <c r="B19" s="227" t="s">
        <v>332</v>
      </c>
      <c r="C19" s="236">
        <v>20000</v>
      </c>
      <c r="D19" s="242">
        <f>0.05*0.07*3*C19</f>
        <v>210.00000000000006</v>
      </c>
      <c r="E19" s="244">
        <v>95.2</v>
      </c>
      <c r="F19" s="123"/>
      <c r="G19" s="230"/>
      <c r="H19" s="24"/>
    </row>
    <row r="20" spans="2:8" s="229" customFormat="1" ht="28.9" customHeight="1" thickBot="1" x14ac:dyDescent="0.25">
      <c r="B20" s="894" t="s">
        <v>673</v>
      </c>
      <c r="C20" s="895"/>
      <c r="D20" s="895"/>
      <c r="E20" s="896"/>
      <c r="F20" s="123"/>
      <c r="H20" s="14"/>
    </row>
    <row r="21" spans="2:8" s="229" customFormat="1" ht="21" customHeight="1" x14ac:dyDescent="0.2">
      <c r="B21" s="494" t="s">
        <v>327</v>
      </c>
      <c r="C21" s="495">
        <v>16000</v>
      </c>
      <c r="D21" s="496">
        <f>0.025*0.05*2*C21</f>
        <v>40.000000000000007</v>
      </c>
      <c r="E21" s="497">
        <v>400</v>
      </c>
      <c r="F21" s="123"/>
      <c r="H21" s="14"/>
    </row>
    <row r="22" spans="2:8" s="9" customFormat="1" ht="21" customHeight="1" x14ac:dyDescent="0.2">
      <c r="B22" s="241" t="s">
        <v>329</v>
      </c>
      <c r="C22" s="238">
        <v>13000</v>
      </c>
      <c r="D22" s="228">
        <f>0.03*0.05*3*C22</f>
        <v>58.500000000000007</v>
      </c>
      <c r="E22" s="245">
        <v>222.2</v>
      </c>
      <c r="F22" s="123"/>
      <c r="G22" s="230"/>
      <c r="H22" s="24"/>
    </row>
    <row r="23" spans="2:8" s="9" customFormat="1" ht="21" customHeight="1" thickBot="1" x14ac:dyDescent="0.25">
      <c r="B23" s="241" t="s">
        <v>798</v>
      </c>
      <c r="C23" s="238">
        <v>10000</v>
      </c>
      <c r="D23" s="228">
        <f>0.05*0.05*2*C23</f>
        <v>50.000000000000007</v>
      </c>
      <c r="E23" s="245">
        <v>200</v>
      </c>
      <c r="F23" s="123"/>
      <c r="G23" s="230"/>
      <c r="H23" s="24"/>
    </row>
    <row r="24" spans="2:8" s="233" customFormat="1" ht="28.15" customHeight="1" thickBot="1" x14ac:dyDescent="0.25">
      <c r="B24" s="751" t="s">
        <v>669</v>
      </c>
      <c r="C24" s="752"/>
      <c r="D24" s="752"/>
      <c r="E24" s="753"/>
      <c r="F24" s="232"/>
      <c r="G24" s="232"/>
      <c r="H24" s="232"/>
    </row>
    <row r="25" spans="2:8" s="233" customFormat="1" ht="60" customHeight="1" thickBot="1" x14ac:dyDescent="0.25">
      <c r="B25" s="488" t="s">
        <v>668</v>
      </c>
      <c r="C25" s="489" t="s">
        <v>6</v>
      </c>
      <c r="D25" s="490" t="s">
        <v>7</v>
      </c>
      <c r="E25" s="491" t="s">
        <v>39</v>
      </c>
      <c r="F25" s="232"/>
      <c r="G25" s="234"/>
      <c r="H25" s="232"/>
    </row>
    <row r="26" spans="2:8" s="233" customFormat="1" ht="27.75" customHeight="1" thickBot="1" x14ac:dyDescent="0.25">
      <c r="B26" s="885" t="s">
        <v>670</v>
      </c>
      <c r="C26" s="886"/>
      <c r="D26" s="886"/>
      <c r="E26" s="887"/>
      <c r="F26" s="232"/>
      <c r="G26" s="234"/>
      <c r="H26" s="232"/>
    </row>
    <row r="27" spans="2:8" s="233" customFormat="1" ht="22.15" customHeight="1" x14ac:dyDescent="0.2">
      <c r="B27" s="235" t="s">
        <v>333</v>
      </c>
      <c r="C27" s="243">
        <v>38000</v>
      </c>
      <c r="D27" s="236">
        <f>0.02*0.04*3*C27</f>
        <v>91.2</v>
      </c>
      <c r="E27" s="231">
        <v>416.6</v>
      </c>
      <c r="F27" s="232"/>
      <c r="G27" s="234"/>
      <c r="H27" s="232"/>
    </row>
    <row r="28" spans="2:8" s="233" customFormat="1" ht="22.15" customHeight="1" x14ac:dyDescent="0.2">
      <c r="B28" s="237" t="s">
        <v>334</v>
      </c>
      <c r="C28" s="243">
        <v>38000</v>
      </c>
      <c r="D28" s="236">
        <f>0.02*0.05*3*C28</f>
        <v>114</v>
      </c>
      <c r="E28" s="227">
        <v>333.3</v>
      </c>
      <c r="F28" s="232"/>
      <c r="G28" s="232"/>
      <c r="H28" s="232"/>
    </row>
    <row r="29" spans="2:8" s="233" customFormat="1" ht="22.15" customHeight="1" x14ac:dyDescent="0.2">
      <c r="B29" s="237" t="s">
        <v>714</v>
      </c>
      <c r="C29" s="243">
        <v>38000</v>
      </c>
      <c r="D29" s="236">
        <f>0.025*0.035*3*C29</f>
        <v>99.750000000000028</v>
      </c>
      <c r="E29" s="227">
        <v>380.9</v>
      </c>
      <c r="F29" s="232"/>
      <c r="G29" s="232"/>
      <c r="H29" s="232"/>
    </row>
    <row r="30" spans="2:8" s="233" customFormat="1" ht="22.15" customHeight="1" x14ac:dyDescent="0.2">
      <c r="B30" s="237" t="s">
        <v>335</v>
      </c>
      <c r="C30" s="243">
        <v>38000</v>
      </c>
      <c r="D30" s="236">
        <f>0.03*0.04*3*C30</f>
        <v>136.79999999999998</v>
      </c>
      <c r="E30" s="227">
        <v>277.7</v>
      </c>
      <c r="F30" s="232"/>
      <c r="G30" s="232"/>
      <c r="H30" s="232"/>
    </row>
    <row r="31" spans="2:8" s="233" customFormat="1" ht="22.15" customHeight="1" x14ac:dyDescent="0.2">
      <c r="B31" s="237" t="s">
        <v>329</v>
      </c>
      <c r="C31" s="243">
        <v>38000</v>
      </c>
      <c r="D31" s="236">
        <f>0.03*0.05*3*C31</f>
        <v>171.00000000000003</v>
      </c>
      <c r="E31" s="227">
        <v>222.2</v>
      </c>
      <c r="F31" s="232"/>
      <c r="G31" s="232"/>
      <c r="H31" s="232"/>
    </row>
    <row r="32" spans="2:8" s="233" customFormat="1" ht="22.15" customHeight="1" x14ac:dyDescent="0.2">
      <c r="B32" s="237" t="s">
        <v>330</v>
      </c>
      <c r="C32" s="243">
        <v>38000</v>
      </c>
      <c r="D32" s="236">
        <f>0.04*0.04*3*C32</f>
        <v>182.4</v>
      </c>
      <c r="E32" s="227">
        <v>208.3</v>
      </c>
      <c r="F32" s="232"/>
      <c r="G32" s="232"/>
      <c r="H32" s="232"/>
    </row>
    <row r="33" spans="2:8" s="233" customFormat="1" ht="22.15" customHeight="1" x14ac:dyDescent="0.2">
      <c r="B33" s="237" t="s">
        <v>331</v>
      </c>
      <c r="C33" s="243">
        <v>38000</v>
      </c>
      <c r="D33" s="236">
        <f>0.04*0.05*3*C33</f>
        <v>228</v>
      </c>
      <c r="E33" s="227">
        <v>166.6</v>
      </c>
      <c r="F33" s="232"/>
      <c r="G33" s="232"/>
      <c r="H33" s="232"/>
    </row>
    <row r="34" spans="2:8" s="233" customFormat="1" ht="22.15" customHeight="1" x14ac:dyDescent="0.2">
      <c r="B34" s="237" t="s">
        <v>8</v>
      </c>
      <c r="C34" s="243">
        <v>38000</v>
      </c>
      <c r="D34" s="236">
        <f>0.05*0.05*3*C34</f>
        <v>285.00000000000006</v>
      </c>
      <c r="E34" s="227">
        <v>133.30000000000001</v>
      </c>
      <c r="F34" s="232"/>
      <c r="G34" s="232"/>
      <c r="H34" s="232"/>
    </row>
    <row r="35" spans="2:8" s="240" customFormat="1" ht="22.15" customHeight="1" thickBot="1" x14ac:dyDescent="0.25">
      <c r="B35" s="237" t="s">
        <v>332</v>
      </c>
      <c r="C35" s="243">
        <v>38000</v>
      </c>
      <c r="D35" s="236">
        <f>0.05*0.07*3*C35</f>
        <v>399.00000000000011</v>
      </c>
      <c r="E35" s="227">
        <v>95.2</v>
      </c>
      <c r="F35" s="239"/>
      <c r="G35" s="239"/>
      <c r="H35" s="239"/>
    </row>
    <row r="36" spans="2:8" s="9" customFormat="1" ht="25.9" customHeight="1" thickBot="1" x14ac:dyDescent="0.25">
      <c r="B36" s="885" t="s">
        <v>671</v>
      </c>
      <c r="C36" s="886"/>
      <c r="D36" s="886"/>
      <c r="E36" s="887"/>
    </row>
    <row r="37" spans="2:8" s="9" customFormat="1" ht="21.6" customHeight="1" x14ac:dyDescent="0.2">
      <c r="B37" s="289" t="s">
        <v>335</v>
      </c>
      <c r="C37" s="354">
        <v>19000</v>
      </c>
      <c r="D37" s="290">
        <f>0.03*0.04*3*C37</f>
        <v>68.399999999999991</v>
      </c>
      <c r="E37" s="241">
        <v>277.7</v>
      </c>
    </row>
    <row r="38" spans="2:8" s="9" customFormat="1" ht="21.6" customHeight="1" thickBot="1" x14ac:dyDescent="0.25">
      <c r="B38" s="289" t="s">
        <v>331</v>
      </c>
      <c r="C38" s="354">
        <v>19000</v>
      </c>
      <c r="D38" s="290">
        <f>0.04*0.05*3*C38</f>
        <v>114</v>
      </c>
      <c r="E38" s="241">
        <v>133.30000000000001</v>
      </c>
    </row>
    <row r="39" spans="2:8" s="9" customFormat="1" ht="13.9" customHeight="1" x14ac:dyDescent="0.2">
      <c r="B39" s="888" t="s">
        <v>336</v>
      </c>
      <c r="C39" s="889"/>
      <c r="D39" s="889"/>
      <c r="E39" s="890"/>
    </row>
    <row r="40" spans="2:8" s="9" customFormat="1" ht="13.9" customHeight="1" thickBot="1" x14ac:dyDescent="0.25">
      <c r="B40" s="891" t="s">
        <v>656</v>
      </c>
      <c r="C40" s="892"/>
      <c r="D40" s="892"/>
      <c r="E40" s="893"/>
    </row>
  </sheetData>
  <mergeCells count="16">
    <mergeCell ref="B24:E24"/>
    <mergeCell ref="B36:E36"/>
    <mergeCell ref="B39:E39"/>
    <mergeCell ref="B40:E40"/>
    <mergeCell ref="B6:E6"/>
    <mergeCell ref="B8:E8"/>
    <mergeCell ref="B9:E9"/>
    <mergeCell ref="B26:E26"/>
    <mergeCell ref="B11:E11"/>
    <mergeCell ref="B20:E20"/>
    <mergeCell ref="B7:E7"/>
    <mergeCell ref="B1:E1"/>
    <mergeCell ref="B2:E2"/>
    <mergeCell ref="B3:E3"/>
    <mergeCell ref="B4:E4"/>
    <mergeCell ref="B5:E5"/>
  </mergeCells>
  <pageMargins left="0" right="0" top="0" bottom="0" header="0" footer="0"/>
  <pageSetup paperSize="9" scale="8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01D9-06E2-40C6-AE67-7AC830192B71}">
  <sheetPr>
    <pageSetUpPr fitToPage="1"/>
  </sheetPr>
  <dimension ref="A1:E53"/>
  <sheetViews>
    <sheetView tabSelected="1" topLeftCell="A13" zoomScale="55" zoomScaleNormal="55" workbookViewId="0">
      <selection activeCell="H16" sqref="H16"/>
    </sheetView>
  </sheetViews>
  <sheetFormatPr defaultRowHeight="23.25" x14ac:dyDescent="0.35"/>
  <cols>
    <col min="1" max="1" width="38" customWidth="1"/>
    <col min="2" max="2" width="60.140625" style="20" customWidth="1"/>
    <col min="3" max="3" width="14" style="670" customWidth="1"/>
    <col min="4" max="4" width="16.140625" style="670" customWidth="1"/>
    <col min="5" max="5" width="16.28515625" style="670" customWidth="1"/>
  </cols>
  <sheetData>
    <row r="1" spans="1:5" ht="18.75" customHeight="1" x14ac:dyDescent="0.25">
      <c r="A1" s="817" t="s">
        <v>0</v>
      </c>
      <c r="B1" s="817"/>
      <c r="C1" s="817"/>
      <c r="D1" s="817"/>
      <c r="E1" s="817"/>
    </row>
    <row r="2" spans="1:5" ht="18.75" customHeight="1" x14ac:dyDescent="0.25">
      <c r="A2" s="817" t="s">
        <v>1</v>
      </c>
      <c r="B2" s="817"/>
      <c r="C2" s="817"/>
      <c r="D2" s="817"/>
      <c r="E2" s="817"/>
    </row>
    <row r="3" spans="1:5" ht="18.75" customHeight="1" x14ac:dyDescent="0.25">
      <c r="A3" s="817" t="s">
        <v>102</v>
      </c>
      <c r="B3" s="817"/>
      <c r="C3" s="817"/>
      <c r="D3" s="817"/>
      <c r="E3" s="817"/>
    </row>
    <row r="4" spans="1:5" ht="18.75" customHeight="1" x14ac:dyDescent="0.25">
      <c r="A4" s="817" t="s">
        <v>920</v>
      </c>
      <c r="B4" s="817"/>
      <c r="C4" s="817"/>
      <c r="D4" s="817"/>
      <c r="E4" s="817"/>
    </row>
    <row r="5" spans="1:5" ht="18.75" customHeight="1" x14ac:dyDescent="0.25">
      <c r="A5" s="817" t="s">
        <v>1105</v>
      </c>
      <c r="B5" s="817"/>
      <c r="C5" s="817"/>
      <c r="D5" s="817"/>
      <c r="E5" s="817"/>
    </row>
    <row r="6" spans="1:5" ht="18.75" customHeight="1" x14ac:dyDescent="0.25">
      <c r="A6" s="817" t="s">
        <v>37</v>
      </c>
      <c r="B6" s="817"/>
      <c r="C6" s="817"/>
      <c r="D6" s="817"/>
      <c r="E6" s="817"/>
    </row>
    <row r="7" spans="1:5" ht="18.75" customHeight="1" x14ac:dyDescent="0.3">
      <c r="A7" s="848" t="s">
        <v>1095</v>
      </c>
      <c r="B7" s="848"/>
      <c r="C7" s="848"/>
      <c r="D7" s="848"/>
      <c r="E7" s="848"/>
    </row>
    <row r="8" spans="1:5" ht="18.75" customHeight="1" thickBot="1" x14ac:dyDescent="0.3">
      <c r="A8" s="897" t="s">
        <v>1150</v>
      </c>
      <c r="B8" s="897"/>
      <c r="C8" s="897"/>
      <c r="D8" s="897"/>
      <c r="E8" s="897"/>
    </row>
    <row r="9" spans="1:5" ht="24" customHeight="1" thickBot="1" x14ac:dyDescent="0.25">
      <c r="A9" s="765" t="s">
        <v>5</v>
      </c>
      <c r="B9" s="767"/>
      <c r="C9" s="820" t="s">
        <v>973</v>
      </c>
      <c r="D9" s="821"/>
      <c r="E9" s="455" t="s">
        <v>974</v>
      </c>
    </row>
    <row r="10" spans="1:5" ht="24" customHeight="1" thickBot="1" x14ac:dyDescent="0.25">
      <c r="A10" s="765" t="s">
        <v>1122</v>
      </c>
      <c r="B10" s="767"/>
      <c r="C10" s="671" t="s">
        <v>1147</v>
      </c>
      <c r="D10" s="672" t="s">
        <v>1145</v>
      </c>
      <c r="E10" s="673" t="s">
        <v>1146</v>
      </c>
    </row>
    <row r="11" spans="1:5" ht="20.25" x14ac:dyDescent="0.2">
      <c r="A11" s="110"/>
      <c r="B11" s="660" t="s">
        <v>1026</v>
      </c>
      <c r="C11" s="658" t="s">
        <v>1137</v>
      </c>
      <c r="D11" s="898" t="s">
        <v>1141</v>
      </c>
      <c r="E11" s="677">
        <v>1200</v>
      </c>
    </row>
    <row r="12" spans="1:5" ht="20.25" x14ac:dyDescent="0.2">
      <c r="A12" s="110"/>
      <c r="B12" s="611" t="s">
        <v>1026</v>
      </c>
      <c r="C12" s="612" t="s">
        <v>1138</v>
      </c>
      <c r="D12" s="899"/>
      <c r="E12" s="666">
        <v>1600</v>
      </c>
    </row>
    <row r="13" spans="1:5" ht="21" thickBot="1" x14ac:dyDescent="0.25">
      <c r="A13" s="110"/>
      <c r="B13" s="76" t="s">
        <v>1026</v>
      </c>
      <c r="C13" s="678" t="s">
        <v>1139</v>
      </c>
      <c r="D13" s="900"/>
      <c r="E13" s="679">
        <v>1900</v>
      </c>
    </row>
    <row r="14" spans="1:5" ht="24" customHeight="1" thickBot="1" x14ac:dyDescent="0.25">
      <c r="A14" s="765" t="s">
        <v>1178</v>
      </c>
      <c r="B14" s="767"/>
      <c r="C14" s="674" t="s">
        <v>1147</v>
      </c>
      <c r="D14" s="675" t="s">
        <v>1145</v>
      </c>
      <c r="E14" s="676" t="s">
        <v>1146</v>
      </c>
    </row>
    <row r="15" spans="1:5" ht="35.25" customHeight="1" x14ac:dyDescent="0.2">
      <c r="A15" s="688"/>
      <c r="B15" s="660" t="s">
        <v>1026</v>
      </c>
      <c r="C15" s="663" t="s">
        <v>1140</v>
      </c>
      <c r="D15" s="898" t="s">
        <v>1142</v>
      </c>
      <c r="E15" s="665">
        <v>1100</v>
      </c>
    </row>
    <row r="16" spans="1:5" ht="35.25" customHeight="1" x14ac:dyDescent="0.2">
      <c r="A16" s="690"/>
      <c r="B16" s="611" t="s">
        <v>1026</v>
      </c>
      <c r="C16" s="612" t="s">
        <v>1137</v>
      </c>
      <c r="D16" s="899"/>
      <c r="E16" s="666">
        <v>1200</v>
      </c>
    </row>
    <row r="17" spans="1:5" ht="35.25" customHeight="1" x14ac:dyDescent="0.2">
      <c r="A17" s="689"/>
      <c r="B17" s="683" t="s">
        <v>1177</v>
      </c>
      <c r="C17" s="612" t="s">
        <v>1140</v>
      </c>
      <c r="D17" s="899"/>
      <c r="E17" s="666">
        <v>1350</v>
      </c>
    </row>
    <row r="18" spans="1:5" ht="35.25" customHeight="1" x14ac:dyDescent="0.2">
      <c r="A18" s="690"/>
      <c r="B18" s="683" t="s">
        <v>1177</v>
      </c>
      <c r="C18" s="612" t="s">
        <v>1137</v>
      </c>
      <c r="D18" s="899"/>
      <c r="E18" s="666">
        <v>1450</v>
      </c>
    </row>
    <row r="19" spans="1:5" ht="35.25" customHeight="1" x14ac:dyDescent="0.2">
      <c r="A19" s="110"/>
      <c r="B19" s="683" t="s">
        <v>1179</v>
      </c>
      <c r="C19" s="612" t="s">
        <v>1140</v>
      </c>
      <c r="D19" s="899"/>
      <c r="E19" s="666">
        <v>1350</v>
      </c>
    </row>
    <row r="20" spans="1:5" ht="35.25" customHeight="1" thickBot="1" x14ac:dyDescent="0.25">
      <c r="A20" s="110"/>
      <c r="B20" s="684" t="s">
        <v>1179</v>
      </c>
      <c r="C20" s="659" t="s">
        <v>1137</v>
      </c>
      <c r="D20" s="899"/>
      <c r="E20" s="667">
        <v>1450</v>
      </c>
    </row>
    <row r="21" spans="1:5" ht="24" customHeight="1" thickBot="1" x14ac:dyDescent="0.25">
      <c r="A21" s="765" t="s">
        <v>1123</v>
      </c>
      <c r="B21" s="767"/>
      <c r="C21" s="657" t="s">
        <v>1045</v>
      </c>
      <c r="D21" s="455" t="s">
        <v>1148</v>
      </c>
      <c r="E21" s="668" t="s">
        <v>1149</v>
      </c>
    </row>
    <row r="22" spans="1:5" ht="20.25" x14ac:dyDescent="0.2">
      <c r="A22" s="110"/>
      <c r="B22" s="903" t="s">
        <v>1124</v>
      </c>
      <c r="C22" s="93" t="s">
        <v>1135</v>
      </c>
      <c r="D22" s="669">
        <f>E22/2</f>
        <v>215</v>
      </c>
      <c r="E22" s="677">
        <v>430</v>
      </c>
    </row>
    <row r="23" spans="1:5" ht="20.25" x14ac:dyDescent="0.2">
      <c r="A23" s="110"/>
      <c r="B23" s="660" t="s">
        <v>1152</v>
      </c>
      <c r="C23" s="40" t="s">
        <v>1135</v>
      </c>
      <c r="D23" s="664">
        <f>E23/2</f>
        <v>272</v>
      </c>
      <c r="E23" s="912">
        <v>544</v>
      </c>
    </row>
    <row r="24" spans="1:5" ht="20.25" x14ac:dyDescent="0.2">
      <c r="A24" s="110"/>
      <c r="B24" s="611" t="s">
        <v>1125</v>
      </c>
      <c r="C24" s="140" t="s">
        <v>1135</v>
      </c>
      <c r="D24" s="662">
        <f t="shared" ref="D24:D31" si="0">E24/2</f>
        <v>335</v>
      </c>
      <c r="E24" s="666">
        <v>670</v>
      </c>
    </row>
    <row r="25" spans="1:5" ht="20.25" x14ac:dyDescent="0.2">
      <c r="A25" s="110"/>
      <c r="B25" s="611" t="s">
        <v>1126</v>
      </c>
      <c r="C25" s="140" t="s">
        <v>1135</v>
      </c>
      <c r="D25" s="662">
        <f t="shared" si="0"/>
        <v>448</v>
      </c>
      <c r="E25" s="666">
        <v>896</v>
      </c>
    </row>
    <row r="26" spans="1:5" ht="20.25" x14ac:dyDescent="0.2">
      <c r="A26" s="110"/>
      <c r="B26" s="611" t="s">
        <v>1127</v>
      </c>
      <c r="C26" s="140" t="s">
        <v>1136</v>
      </c>
      <c r="D26" s="662">
        <f t="shared" si="0"/>
        <v>716.5</v>
      </c>
      <c r="E26" s="666">
        <v>1433</v>
      </c>
    </row>
    <row r="27" spans="1:5" ht="20.25" x14ac:dyDescent="0.2">
      <c r="A27" s="110"/>
      <c r="B27" s="611" t="s">
        <v>1128</v>
      </c>
      <c r="C27" s="140" t="s">
        <v>1136</v>
      </c>
      <c r="D27" s="662">
        <f t="shared" si="0"/>
        <v>830</v>
      </c>
      <c r="E27" s="666">
        <v>1660</v>
      </c>
    </row>
    <row r="28" spans="1:5" ht="20.25" x14ac:dyDescent="0.2">
      <c r="A28" s="110"/>
      <c r="B28" s="907" t="s">
        <v>1129</v>
      </c>
      <c r="C28" s="140" t="s">
        <v>1136</v>
      </c>
      <c r="D28" s="662">
        <f t="shared" ref="D28" si="1">E28/2</f>
        <v>1140</v>
      </c>
      <c r="E28" s="908">
        <v>2280</v>
      </c>
    </row>
    <row r="29" spans="1:5" s="661" customFormat="1" ht="21" thickBot="1" x14ac:dyDescent="0.25">
      <c r="A29" s="685"/>
      <c r="B29" s="904" t="s">
        <v>1153</v>
      </c>
      <c r="C29" s="905" t="s">
        <v>1154</v>
      </c>
      <c r="D29" s="906">
        <f t="shared" si="0"/>
        <v>2056</v>
      </c>
      <c r="E29" s="911">
        <v>4112</v>
      </c>
    </row>
    <row r="30" spans="1:5" s="661" customFormat="1" ht="19.5" thickBot="1" x14ac:dyDescent="0.25">
      <c r="A30" s="765" t="s">
        <v>1165</v>
      </c>
      <c r="B30" s="767"/>
      <c r="C30" s="708" t="s">
        <v>1045</v>
      </c>
      <c r="D30" s="455" t="s">
        <v>1148</v>
      </c>
      <c r="E30" s="668" t="s">
        <v>1149</v>
      </c>
    </row>
    <row r="31" spans="1:5" s="661" customFormat="1" ht="20.25" x14ac:dyDescent="0.2">
      <c r="A31" s="685"/>
      <c r="B31" s="915" t="s">
        <v>1166</v>
      </c>
      <c r="C31" s="74" t="s">
        <v>1167</v>
      </c>
      <c r="D31" s="669">
        <f t="shared" si="0"/>
        <v>645</v>
      </c>
      <c r="E31" s="918">
        <v>1290</v>
      </c>
    </row>
    <row r="32" spans="1:5" s="661" customFormat="1" ht="20.25" x14ac:dyDescent="0.2">
      <c r="A32" s="685"/>
      <c r="B32" s="907" t="s">
        <v>1169</v>
      </c>
      <c r="C32" s="261" t="s">
        <v>1167</v>
      </c>
      <c r="D32" s="662">
        <f t="shared" ref="D32:D33" si="2">E32/2</f>
        <v>834</v>
      </c>
      <c r="E32" s="920">
        <v>1668</v>
      </c>
    </row>
    <row r="33" spans="1:5" s="661" customFormat="1" ht="21" thickBot="1" x14ac:dyDescent="0.25">
      <c r="A33" s="685"/>
      <c r="B33" s="916" t="s">
        <v>1168</v>
      </c>
      <c r="C33" s="39" t="s">
        <v>1154</v>
      </c>
      <c r="D33" s="906">
        <f t="shared" si="2"/>
        <v>1037</v>
      </c>
      <c r="E33" s="919">
        <v>2074</v>
      </c>
    </row>
    <row r="34" spans="1:5" s="661" customFormat="1" ht="19.5" thickBot="1" x14ac:dyDescent="0.25">
      <c r="A34" s="765" t="s">
        <v>1155</v>
      </c>
      <c r="B34" s="767"/>
      <c r="C34" s="708" t="s">
        <v>1045</v>
      </c>
      <c r="D34" s="455" t="s">
        <v>1148</v>
      </c>
      <c r="E34" s="668" t="s">
        <v>1149</v>
      </c>
    </row>
    <row r="35" spans="1:5" s="661" customFormat="1" ht="20.25" x14ac:dyDescent="0.2">
      <c r="A35" s="685"/>
      <c r="B35" s="927" t="s">
        <v>1156</v>
      </c>
      <c r="C35" s="74" t="s">
        <v>1154</v>
      </c>
      <c r="D35" s="669">
        <f>E35/2</f>
        <v>375</v>
      </c>
      <c r="E35" s="918">
        <v>750</v>
      </c>
    </row>
    <row r="36" spans="1:5" s="661" customFormat="1" ht="20.25" x14ac:dyDescent="0.2">
      <c r="A36" s="685"/>
      <c r="B36" s="928" t="s">
        <v>1157</v>
      </c>
      <c r="C36" s="39" t="s">
        <v>1154</v>
      </c>
      <c r="D36" s="664">
        <f>E36/2</f>
        <v>495</v>
      </c>
      <c r="E36" s="919">
        <v>990</v>
      </c>
    </row>
    <row r="37" spans="1:5" s="661" customFormat="1" ht="20.25" x14ac:dyDescent="0.2">
      <c r="A37" s="685"/>
      <c r="B37" s="928" t="s">
        <v>1158</v>
      </c>
      <c r="C37" s="39" t="s">
        <v>1159</v>
      </c>
      <c r="D37" s="664">
        <f>E37/2</f>
        <v>750</v>
      </c>
      <c r="E37" s="919">
        <v>1500</v>
      </c>
    </row>
    <row r="38" spans="1:5" s="661" customFormat="1" ht="21" thickBot="1" x14ac:dyDescent="0.25">
      <c r="A38" s="685"/>
      <c r="B38" s="928" t="s">
        <v>1160</v>
      </c>
      <c r="C38" s="39" t="s">
        <v>1161</v>
      </c>
      <c r="D38" s="664">
        <f>E38/2</f>
        <v>1125</v>
      </c>
      <c r="E38" s="919">
        <v>2250</v>
      </c>
    </row>
    <row r="39" spans="1:5" s="661" customFormat="1" ht="19.5" thickBot="1" x14ac:dyDescent="0.25">
      <c r="A39" s="765" t="s">
        <v>1162</v>
      </c>
      <c r="B39" s="767"/>
      <c r="C39" s="708" t="s">
        <v>1045</v>
      </c>
      <c r="D39" s="455" t="s">
        <v>1148</v>
      </c>
      <c r="E39" s="668" t="s">
        <v>1149</v>
      </c>
    </row>
    <row r="40" spans="1:5" s="661" customFormat="1" ht="20.25" x14ac:dyDescent="0.2">
      <c r="A40" s="685"/>
      <c r="B40" s="927" t="s">
        <v>1163</v>
      </c>
      <c r="C40" s="74" t="s">
        <v>1159</v>
      </c>
      <c r="D40" s="669">
        <f>E40/2</f>
        <v>365</v>
      </c>
      <c r="E40" s="913">
        <v>730</v>
      </c>
    </row>
    <row r="41" spans="1:5" s="661" customFormat="1" ht="21" thickBot="1" x14ac:dyDescent="0.25">
      <c r="A41" s="685"/>
      <c r="B41" s="929" t="s">
        <v>1164</v>
      </c>
      <c r="C41" s="917" t="s">
        <v>1161</v>
      </c>
      <c r="D41" s="906">
        <f>E41/2</f>
        <v>575</v>
      </c>
      <c r="E41" s="911">
        <v>1150</v>
      </c>
    </row>
    <row r="42" spans="1:5" ht="24" customHeight="1" thickBot="1" x14ac:dyDescent="0.25">
      <c r="A42" s="765" t="s">
        <v>1130</v>
      </c>
      <c r="B42" s="914"/>
      <c r="C42" s="680" t="s">
        <v>1045</v>
      </c>
      <c r="D42" s="680" t="s">
        <v>1147</v>
      </c>
      <c r="E42" s="676" t="s">
        <v>1146</v>
      </c>
    </row>
    <row r="43" spans="1:5" ht="30" customHeight="1" x14ac:dyDescent="0.2">
      <c r="A43" s="110"/>
      <c r="B43" s="687" t="s">
        <v>1063</v>
      </c>
      <c r="C43" s="663" t="s">
        <v>1131</v>
      </c>
      <c r="D43" s="74" t="s">
        <v>1144</v>
      </c>
      <c r="E43" s="669">
        <v>128</v>
      </c>
    </row>
    <row r="44" spans="1:5" ht="30" customHeight="1" x14ac:dyDescent="0.2">
      <c r="A44" s="110"/>
      <c r="B44" s="681" t="s">
        <v>1063</v>
      </c>
      <c r="C44" s="39" t="s">
        <v>1132</v>
      </c>
      <c r="D44" s="261" t="s">
        <v>1143</v>
      </c>
      <c r="E44" s="910">
        <v>212</v>
      </c>
    </row>
    <row r="45" spans="1:5" ht="30" customHeight="1" x14ac:dyDescent="0.2">
      <c r="A45" s="110"/>
      <c r="B45" s="681" t="s">
        <v>1063</v>
      </c>
      <c r="C45" s="261" t="s">
        <v>1133</v>
      </c>
      <c r="D45" s="261" t="s">
        <v>1143</v>
      </c>
      <c r="E45" s="662">
        <v>330</v>
      </c>
    </row>
    <row r="46" spans="1:5" ht="30" customHeight="1" thickBot="1" x14ac:dyDescent="0.25">
      <c r="A46" s="686"/>
      <c r="B46" s="682" t="s">
        <v>1063</v>
      </c>
      <c r="C46" s="262" t="s">
        <v>1134</v>
      </c>
      <c r="D46" s="262" t="s">
        <v>1143</v>
      </c>
      <c r="E46" s="909">
        <v>477</v>
      </c>
    </row>
    <row r="47" spans="1:5" ht="30" customHeight="1" thickBot="1" x14ac:dyDescent="0.25">
      <c r="A47" s="923" t="s">
        <v>1170</v>
      </c>
      <c r="B47" s="914"/>
      <c r="C47" s="680" t="s">
        <v>1145</v>
      </c>
      <c r="D47" s="680" t="s">
        <v>1147</v>
      </c>
      <c r="E47" s="921" t="s">
        <v>1146</v>
      </c>
    </row>
    <row r="48" spans="1:5" ht="30" customHeight="1" x14ac:dyDescent="0.2">
      <c r="A48" s="688"/>
      <c r="B48" s="930" t="s">
        <v>1176</v>
      </c>
      <c r="C48" s="74" t="s">
        <v>1171</v>
      </c>
      <c r="D48" s="74" t="s">
        <v>1144</v>
      </c>
      <c r="E48" s="926">
        <v>4350</v>
      </c>
    </row>
    <row r="49" spans="1:5" ht="30" customHeight="1" x14ac:dyDescent="0.2">
      <c r="A49" s="689"/>
      <c r="B49" s="931" t="s">
        <v>1176</v>
      </c>
      <c r="C49" s="39" t="s">
        <v>1172</v>
      </c>
      <c r="D49" s="39" t="s">
        <v>1144</v>
      </c>
      <c r="E49" s="910">
        <v>6250</v>
      </c>
    </row>
    <row r="50" spans="1:5" ht="30" customHeight="1" x14ac:dyDescent="0.2">
      <c r="A50" s="689"/>
      <c r="B50" s="931" t="s">
        <v>1176</v>
      </c>
      <c r="C50" s="39" t="s">
        <v>1173</v>
      </c>
      <c r="D50" s="39" t="s">
        <v>1144</v>
      </c>
      <c r="E50" s="910">
        <v>7700</v>
      </c>
    </row>
    <row r="51" spans="1:5" ht="30" customHeight="1" x14ac:dyDescent="0.2">
      <c r="A51" s="689"/>
      <c r="B51" s="931" t="s">
        <v>1176</v>
      </c>
      <c r="C51" s="39" t="s">
        <v>1174</v>
      </c>
      <c r="D51" s="39" t="s">
        <v>1144</v>
      </c>
      <c r="E51" s="910">
        <v>9000</v>
      </c>
    </row>
    <row r="52" spans="1:5" ht="30" customHeight="1" thickBot="1" x14ac:dyDescent="0.25">
      <c r="A52" s="925"/>
      <c r="B52" s="932" t="s">
        <v>1176</v>
      </c>
      <c r="C52" s="917" t="s">
        <v>1175</v>
      </c>
      <c r="D52" s="917" t="s">
        <v>1144</v>
      </c>
      <c r="E52" s="922">
        <v>16950</v>
      </c>
    </row>
    <row r="53" spans="1:5" ht="15" thickBot="1" x14ac:dyDescent="0.25">
      <c r="A53" s="924" t="s">
        <v>655</v>
      </c>
      <c r="B53" s="803"/>
      <c r="C53" s="803"/>
      <c r="D53" s="803"/>
      <c r="E53" s="804"/>
    </row>
  </sheetData>
  <mergeCells count="21">
    <mergeCell ref="A1:E1"/>
    <mergeCell ref="A2:E2"/>
    <mergeCell ref="A3:E3"/>
    <mergeCell ref="A4:E4"/>
    <mergeCell ref="A5:E5"/>
    <mergeCell ref="A6:E6"/>
    <mergeCell ref="A7:E7"/>
    <mergeCell ref="A8:E8"/>
    <mergeCell ref="A53:E53"/>
    <mergeCell ref="D11:D13"/>
    <mergeCell ref="D15:D20"/>
    <mergeCell ref="A9:B9"/>
    <mergeCell ref="A10:B10"/>
    <mergeCell ref="A14:B14"/>
    <mergeCell ref="A21:B21"/>
    <mergeCell ref="A42:B42"/>
    <mergeCell ref="C9:D9"/>
    <mergeCell ref="A34:B34"/>
    <mergeCell ref="A39:B39"/>
    <mergeCell ref="A30:B30"/>
    <mergeCell ref="A47:B47"/>
  </mergeCells>
  <pageMargins left="0.24" right="0.24" top="0.17" bottom="0.17" header="0.17" footer="0.17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24"/>
  <sheetViews>
    <sheetView zoomScale="85" zoomScaleNormal="85" workbookViewId="0">
      <selection activeCell="N18" sqref="N18"/>
    </sheetView>
  </sheetViews>
  <sheetFormatPr defaultColWidth="10" defaultRowHeight="12.75" x14ac:dyDescent="0.2"/>
  <cols>
    <col min="1" max="1" width="12.28515625" customWidth="1"/>
    <col min="2" max="2" width="56.5703125" customWidth="1"/>
    <col min="3" max="3" width="25.85546875" style="9" customWidth="1"/>
    <col min="4" max="4" width="26.42578125" style="22" customWidth="1"/>
    <col min="5" max="5" width="22.5703125" customWidth="1"/>
    <col min="6" max="6" width="6.140625" hidden="1" customWidth="1"/>
  </cols>
  <sheetData>
    <row r="1" spans="2:5" ht="18" customHeight="1" x14ac:dyDescent="0.2">
      <c r="B1" s="718" t="s">
        <v>0</v>
      </c>
      <c r="C1" s="718"/>
      <c r="D1" s="718"/>
      <c r="E1" s="718"/>
    </row>
    <row r="2" spans="2:5" ht="18" customHeight="1" x14ac:dyDescent="0.2">
      <c r="B2" s="718" t="s">
        <v>1</v>
      </c>
      <c r="C2" s="718"/>
      <c r="D2" s="718"/>
      <c r="E2" s="718"/>
    </row>
    <row r="3" spans="2:5" ht="18" customHeight="1" x14ac:dyDescent="0.2">
      <c r="B3" s="718" t="s">
        <v>2</v>
      </c>
      <c r="C3" s="718"/>
      <c r="D3" s="718"/>
      <c r="E3" s="718"/>
    </row>
    <row r="4" spans="2:5" ht="18" customHeight="1" x14ac:dyDescent="0.3">
      <c r="B4" s="712" t="s">
        <v>3</v>
      </c>
      <c r="C4" s="712"/>
      <c r="D4" s="712"/>
      <c r="E4" s="712"/>
    </row>
    <row r="5" spans="2:5" ht="18" customHeight="1" x14ac:dyDescent="0.2">
      <c r="B5" s="718" t="s">
        <v>1105</v>
      </c>
      <c r="C5" s="718"/>
      <c r="D5" s="718"/>
      <c r="E5" s="718"/>
    </row>
    <row r="6" spans="2:5" s="2" customFormat="1" ht="18" customHeight="1" x14ac:dyDescent="0.3">
      <c r="B6" s="718" t="s">
        <v>37</v>
      </c>
      <c r="C6" s="718"/>
      <c r="D6" s="718"/>
      <c r="E6" s="718"/>
    </row>
    <row r="7" spans="2:5" s="2" customFormat="1" ht="11.25" customHeight="1" x14ac:dyDescent="0.3">
      <c r="B7" s="14"/>
      <c r="C7" s="14"/>
      <c r="D7" s="14"/>
      <c r="E7" s="14"/>
    </row>
    <row r="8" spans="2:5" s="2" customFormat="1" ht="34.9" customHeight="1" x14ac:dyDescent="0.3">
      <c r="B8" s="739" t="s">
        <v>38</v>
      </c>
      <c r="C8" s="739"/>
      <c r="D8" s="739"/>
      <c r="E8" s="739"/>
    </row>
    <row r="9" spans="2:5" s="2" customFormat="1" ht="15" customHeight="1" x14ac:dyDescent="0.3">
      <c r="B9" s="740" t="s">
        <v>1095</v>
      </c>
      <c r="C9" s="740"/>
      <c r="D9" s="740"/>
      <c r="E9" s="740"/>
    </row>
    <row r="10" spans="2:5" s="2" customFormat="1" ht="15.6" customHeight="1" thickBot="1" x14ac:dyDescent="0.35">
      <c r="B10" s="714" t="s">
        <v>1151</v>
      </c>
      <c r="C10" s="714"/>
      <c r="D10" s="714"/>
      <c r="E10" s="714"/>
    </row>
    <row r="11" spans="2:5" s="34" customFormat="1" ht="57.6" customHeight="1" thickBot="1" x14ac:dyDescent="0.5">
      <c r="B11" s="488" t="s">
        <v>5</v>
      </c>
      <c r="C11" s="489" t="s">
        <v>6</v>
      </c>
      <c r="D11" s="490" t="s">
        <v>7</v>
      </c>
      <c r="E11" s="491" t="s">
        <v>39</v>
      </c>
    </row>
    <row r="12" spans="2:5" s="36" customFormat="1" ht="25.9" customHeight="1" thickBot="1" x14ac:dyDescent="0.5">
      <c r="B12" s="719" t="s">
        <v>40</v>
      </c>
      <c r="C12" s="720"/>
      <c r="D12" s="720"/>
      <c r="E12" s="721"/>
    </row>
    <row r="13" spans="2:5" s="36" customFormat="1" ht="25.9" customHeight="1" x14ac:dyDescent="0.45">
      <c r="B13" s="184" t="s">
        <v>680</v>
      </c>
      <c r="C13" s="185">
        <v>16500</v>
      </c>
      <c r="D13" s="186">
        <f>0.1*0.1*6*C13</f>
        <v>990.00000000000023</v>
      </c>
      <c r="E13" s="187">
        <v>16.600000000000001</v>
      </c>
    </row>
    <row r="14" spans="2:5" s="36" customFormat="1" ht="25.9" customHeight="1" x14ac:dyDescent="0.45">
      <c r="B14" s="184" t="s">
        <v>1013</v>
      </c>
      <c r="C14" s="185">
        <v>16500</v>
      </c>
      <c r="D14" s="186">
        <f>0.1*0.15*6*C14</f>
        <v>1485</v>
      </c>
      <c r="E14" s="187">
        <v>11.1</v>
      </c>
    </row>
    <row r="15" spans="2:5" s="36" customFormat="1" ht="25.9" customHeight="1" x14ac:dyDescent="0.45">
      <c r="B15" s="190" t="s">
        <v>1113</v>
      </c>
      <c r="C15" s="185">
        <v>16500</v>
      </c>
      <c r="D15" s="186">
        <f>0.1*0.2*6*C15</f>
        <v>1980.0000000000005</v>
      </c>
      <c r="E15" s="189">
        <v>8.3000000000000007</v>
      </c>
    </row>
    <row r="16" spans="2:5" s="36" customFormat="1" ht="25.9" customHeight="1" x14ac:dyDescent="0.45">
      <c r="B16" s="190" t="s">
        <v>1114</v>
      </c>
      <c r="C16" s="185">
        <v>16500</v>
      </c>
      <c r="D16" s="186">
        <f>0.15*0.15*6*C16</f>
        <v>2227.5</v>
      </c>
      <c r="E16" s="189">
        <v>7.4</v>
      </c>
    </row>
    <row r="17" spans="2:5" s="36" customFormat="1" ht="25.9" customHeight="1" x14ac:dyDescent="0.45">
      <c r="B17" s="190" t="s">
        <v>898</v>
      </c>
      <c r="C17" s="185">
        <v>16500</v>
      </c>
      <c r="D17" s="285">
        <f>0.2*0.2*6*C17</f>
        <v>3960.0000000000009</v>
      </c>
      <c r="E17" s="189">
        <v>4.0999999999999996</v>
      </c>
    </row>
    <row r="18" spans="2:5" s="36" customFormat="1" ht="24" customHeight="1" x14ac:dyDescent="0.45">
      <c r="B18" s="184" t="s">
        <v>23</v>
      </c>
      <c r="C18" s="185">
        <v>19000</v>
      </c>
      <c r="D18" s="186">
        <f>0.1*0.1*6*C18</f>
        <v>1140.0000000000002</v>
      </c>
      <c r="E18" s="187">
        <v>16.600000000000001</v>
      </c>
    </row>
    <row r="19" spans="2:5" s="36" customFormat="1" ht="24" customHeight="1" x14ac:dyDescent="0.45">
      <c r="B19" s="184" t="s">
        <v>24</v>
      </c>
      <c r="C19" s="185">
        <v>19000</v>
      </c>
      <c r="D19" s="186">
        <f>0.1*0.15*6*C19</f>
        <v>1710</v>
      </c>
      <c r="E19" s="187">
        <v>11.1</v>
      </c>
    </row>
    <row r="20" spans="2:5" s="36" customFormat="1" ht="24" customHeight="1" x14ac:dyDescent="0.45">
      <c r="B20" s="190" t="s">
        <v>41</v>
      </c>
      <c r="C20" s="185">
        <v>19000</v>
      </c>
      <c r="D20" s="186">
        <f>0.1*0.2*6*C20</f>
        <v>2280.0000000000005</v>
      </c>
      <c r="E20" s="189">
        <v>8.3000000000000007</v>
      </c>
    </row>
    <row r="21" spans="2:5" s="36" customFormat="1" ht="24" customHeight="1" x14ac:dyDescent="0.45">
      <c r="B21" s="190" t="s">
        <v>42</v>
      </c>
      <c r="C21" s="185">
        <v>19000</v>
      </c>
      <c r="D21" s="186">
        <f>0.15*0.15*6*C21</f>
        <v>2565</v>
      </c>
      <c r="E21" s="189">
        <v>7.4</v>
      </c>
    </row>
    <row r="22" spans="2:5" s="36" customFormat="1" ht="24" customHeight="1" x14ac:dyDescent="0.45">
      <c r="B22" s="190" t="s">
        <v>43</v>
      </c>
      <c r="C22" s="185">
        <v>19000</v>
      </c>
      <c r="D22" s="186">
        <f>0.15*0.2*6*C22</f>
        <v>3420</v>
      </c>
      <c r="E22" s="189">
        <v>5.5</v>
      </c>
    </row>
    <row r="23" spans="2:5" s="36" customFormat="1" ht="24" customHeight="1" thickBot="1" x14ac:dyDescent="0.5">
      <c r="B23" s="191" t="s">
        <v>44</v>
      </c>
      <c r="C23" s="185">
        <v>19000</v>
      </c>
      <c r="D23" s="186">
        <f>0.2*0.2*6*C23</f>
        <v>4560.0000000000009</v>
      </c>
      <c r="E23" s="192">
        <v>4.0999999999999996</v>
      </c>
    </row>
    <row r="24" spans="2:5" s="36" customFormat="1" ht="26.45" customHeight="1" thickBot="1" x14ac:dyDescent="0.5">
      <c r="B24" s="719" t="s">
        <v>9</v>
      </c>
      <c r="C24" s="720"/>
      <c r="D24" s="720"/>
      <c r="E24" s="721"/>
    </row>
    <row r="25" spans="2:5" s="36" customFormat="1" ht="26.45" customHeight="1" thickBot="1" x14ac:dyDescent="0.5">
      <c r="B25" s="741" t="s">
        <v>45</v>
      </c>
      <c r="C25" s="742"/>
      <c r="D25" s="742"/>
      <c r="E25" s="743"/>
    </row>
    <row r="26" spans="2:5" s="36" customFormat="1" ht="24.6" customHeight="1" x14ac:dyDescent="0.45">
      <c r="B26" s="415" t="s">
        <v>46</v>
      </c>
      <c r="C26" s="416">
        <v>12000</v>
      </c>
      <c r="D26" s="275">
        <f>0.025*0.08*2*C26</f>
        <v>48</v>
      </c>
      <c r="E26" s="415">
        <v>250</v>
      </c>
    </row>
    <row r="27" spans="2:5" s="36" customFormat="1" ht="24" customHeight="1" x14ac:dyDescent="0.45">
      <c r="B27" s="196" t="s">
        <v>46</v>
      </c>
      <c r="C27" s="185">
        <v>15000</v>
      </c>
      <c r="D27" s="186">
        <f>0.025*0.08*2*C27</f>
        <v>60</v>
      </c>
      <c r="E27" s="187">
        <v>250</v>
      </c>
    </row>
    <row r="28" spans="2:5" s="36" customFormat="1" ht="24" customHeight="1" x14ac:dyDescent="0.45">
      <c r="B28" s="640" t="s">
        <v>47</v>
      </c>
      <c r="C28" s="422">
        <v>12000</v>
      </c>
      <c r="D28" s="423">
        <f>0.025*0.1*2*C28</f>
        <v>60.000000000000014</v>
      </c>
      <c r="E28" s="640">
        <v>200</v>
      </c>
    </row>
    <row r="29" spans="2:5" s="36" customFormat="1" ht="25.5" customHeight="1" x14ac:dyDescent="0.45">
      <c r="B29" s="196" t="s">
        <v>47</v>
      </c>
      <c r="C29" s="185">
        <v>15000</v>
      </c>
      <c r="D29" s="186">
        <f>0.025*0.1*2*C29</f>
        <v>75.000000000000014</v>
      </c>
      <c r="E29" s="196">
        <v>200</v>
      </c>
    </row>
    <row r="30" spans="2:5" s="36" customFormat="1" ht="25.5" customHeight="1" x14ac:dyDescent="0.45">
      <c r="B30" s="640" t="s">
        <v>1109</v>
      </c>
      <c r="C30" s="641">
        <v>12000</v>
      </c>
      <c r="D30" s="423">
        <f>0.025*0.125*2*C30</f>
        <v>75</v>
      </c>
      <c r="E30" s="424">
        <v>160</v>
      </c>
    </row>
    <row r="31" spans="2:5" s="36" customFormat="1" ht="25.5" customHeight="1" x14ac:dyDescent="0.45">
      <c r="B31" s="640" t="s">
        <v>48</v>
      </c>
      <c r="C31" s="641">
        <v>12000</v>
      </c>
      <c r="D31" s="423">
        <f>0.025*0.15*2*C31</f>
        <v>90</v>
      </c>
      <c r="E31" s="424">
        <v>133.30000000000001</v>
      </c>
    </row>
    <row r="32" spans="2:5" s="36" customFormat="1" ht="24.6" customHeight="1" x14ac:dyDescent="0.45">
      <c r="B32" s="196" t="s">
        <v>48</v>
      </c>
      <c r="C32" s="195">
        <v>15000</v>
      </c>
      <c r="D32" s="186">
        <f>0.025*0.15*2*C32</f>
        <v>112.5</v>
      </c>
      <c r="E32" s="187">
        <v>133.30000000000001</v>
      </c>
    </row>
    <row r="33" spans="2:5" s="197" customFormat="1" ht="24.6" customHeight="1" x14ac:dyDescent="0.45">
      <c r="B33" s="196" t="s">
        <v>49</v>
      </c>
      <c r="C33" s="195">
        <v>15000</v>
      </c>
      <c r="D33" s="285">
        <f>0.04*0.1*2*C33</f>
        <v>120</v>
      </c>
      <c r="E33" s="187">
        <v>125</v>
      </c>
    </row>
    <row r="34" spans="2:5" s="197" customFormat="1" ht="24.6" customHeight="1" x14ac:dyDescent="0.45">
      <c r="B34" s="196" t="s">
        <v>50</v>
      </c>
      <c r="C34" s="195">
        <v>15000</v>
      </c>
      <c r="D34" s="285">
        <f>0.04*0.2*2*C34</f>
        <v>240</v>
      </c>
      <c r="E34" s="187">
        <v>62.5</v>
      </c>
    </row>
    <row r="35" spans="2:5" s="36" customFormat="1" ht="24.6" customHeight="1" x14ac:dyDescent="0.45">
      <c r="B35" s="196" t="s">
        <v>51</v>
      </c>
      <c r="C35" s="195">
        <v>15000</v>
      </c>
      <c r="D35" s="285">
        <f>0.05*0.1*2*C35</f>
        <v>150.00000000000003</v>
      </c>
      <c r="E35" s="187">
        <v>100</v>
      </c>
    </row>
    <row r="36" spans="2:5" s="36" customFormat="1" ht="24.6" customHeight="1" x14ac:dyDescent="0.45">
      <c r="B36" s="196" t="s">
        <v>52</v>
      </c>
      <c r="C36" s="195">
        <v>15000</v>
      </c>
      <c r="D36" s="285">
        <f>0.05*0.15*2*C36</f>
        <v>225</v>
      </c>
      <c r="E36" s="187">
        <v>66</v>
      </c>
    </row>
    <row r="37" spans="2:5" s="36" customFormat="1" ht="24.6" customHeight="1" thickBot="1" x14ac:dyDescent="0.5">
      <c r="B37" s="215" t="s">
        <v>53</v>
      </c>
      <c r="C37" s="492">
        <v>15000</v>
      </c>
      <c r="D37" s="493">
        <f>0.05*0.2*2*C37</f>
        <v>300.00000000000006</v>
      </c>
      <c r="E37" s="209">
        <v>50</v>
      </c>
    </row>
    <row r="38" spans="2:5" ht="13.5" thickBot="1" x14ac:dyDescent="0.25"/>
    <row r="39" spans="2:5" s="36" customFormat="1" ht="29.45" customHeight="1" thickBot="1" x14ac:dyDescent="0.5">
      <c r="B39" s="741" t="s">
        <v>54</v>
      </c>
      <c r="C39" s="742"/>
      <c r="D39" s="742"/>
      <c r="E39" s="743"/>
    </row>
    <row r="40" spans="2:5" s="36" customFormat="1" ht="24" customHeight="1" x14ac:dyDescent="0.45">
      <c r="B40" s="203" t="s">
        <v>21</v>
      </c>
      <c r="C40" s="263">
        <v>17500</v>
      </c>
      <c r="D40" s="264">
        <f>0.025*0.1*3*C40</f>
        <v>131.25000000000003</v>
      </c>
      <c r="E40" s="265">
        <v>133.30000000000001</v>
      </c>
    </row>
    <row r="41" spans="2:5" s="36" customFormat="1" ht="24" customHeight="1" x14ac:dyDescent="0.45">
      <c r="B41" s="190" t="s">
        <v>10</v>
      </c>
      <c r="C41" s="194">
        <v>17500</v>
      </c>
      <c r="D41" s="186">
        <f>0.025*0.15*3*C41</f>
        <v>196.875</v>
      </c>
      <c r="E41" s="189">
        <v>88.8</v>
      </c>
    </row>
    <row r="42" spans="2:5" s="197" customFormat="1" ht="23.45" customHeight="1" x14ac:dyDescent="0.45">
      <c r="B42" s="184" t="s">
        <v>55</v>
      </c>
      <c r="C42" s="185">
        <v>17500</v>
      </c>
      <c r="D42" s="186">
        <f>0.04*0.1*3*C42</f>
        <v>210</v>
      </c>
      <c r="E42" s="187">
        <v>83.3</v>
      </c>
    </row>
    <row r="43" spans="2:5" s="197" customFormat="1" ht="23.45" customHeight="1" x14ac:dyDescent="0.45">
      <c r="B43" s="184" t="s">
        <v>56</v>
      </c>
      <c r="C43" s="185">
        <v>17500</v>
      </c>
      <c r="D43" s="186">
        <f>0.04*0.2*3*C43</f>
        <v>420</v>
      </c>
      <c r="E43" s="187">
        <v>41.6</v>
      </c>
    </row>
    <row r="44" spans="2:5" s="36" customFormat="1" ht="23.45" customHeight="1" x14ac:dyDescent="0.45">
      <c r="B44" s="184" t="s">
        <v>57</v>
      </c>
      <c r="C44" s="185">
        <v>17500</v>
      </c>
      <c r="D44" s="186">
        <f>0.05*0.1*3*C44</f>
        <v>262.50000000000006</v>
      </c>
      <c r="E44" s="187">
        <v>66.599999999999994</v>
      </c>
    </row>
    <row r="45" spans="2:5" s="36" customFormat="1" ht="23.45" customHeight="1" x14ac:dyDescent="0.45">
      <c r="B45" s="190" t="s">
        <v>58</v>
      </c>
      <c r="C45" s="185">
        <v>17500</v>
      </c>
      <c r="D45" s="186">
        <f>0.05*0.15*3*C45</f>
        <v>393.75</v>
      </c>
      <c r="E45" s="189">
        <v>44.4</v>
      </c>
    </row>
    <row r="46" spans="2:5" s="36" customFormat="1" ht="23.45" customHeight="1" thickBot="1" x14ac:dyDescent="0.5">
      <c r="B46" s="208" t="s">
        <v>59</v>
      </c>
      <c r="C46" s="266">
        <v>17500</v>
      </c>
      <c r="D46" s="277">
        <f>0.05*0.2*3*C46</f>
        <v>525.00000000000011</v>
      </c>
      <c r="E46" s="209">
        <v>33.299999999999997</v>
      </c>
    </row>
    <row r="47" spans="2:5" s="36" customFormat="1" ht="16.5" customHeight="1" thickBot="1" x14ac:dyDescent="0.5">
      <c r="B47" s="137"/>
      <c r="C47" s="201"/>
      <c r="D47" s="202"/>
      <c r="E47" s="137"/>
    </row>
    <row r="48" spans="2:5" s="36" customFormat="1" ht="25.15" customHeight="1" thickBot="1" x14ac:dyDescent="0.5">
      <c r="B48" s="741" t="s">
        <v>666</v>
      </c>
      <c r="C48" s="742"/>
      <c r="D48" s="742"/>
      <c r="E48" s="743"/>
    </row>
    <row r="49" spans="2:5" s="36" customFormat="1" ht="25.15" customHeight="1" x14ac:dyDescent="0.45">
      <c r="B49" s="184" t="s">
        <v>715</v>
      </c>
      <c r="C49" s="185">
        <v>17900</v>
      </c>
      <c r="D49" s="186">
        <f>0.025*0.1*4*C49</f>
        <v>179.00000000000003</v>
      </c>
      <c r="E49" s="196">
        <v>100</v>
      </c>
    </row>
    <row r="50" spans="2:5" s="36" customFormat="1" ht="25.15" customHeight="1" x14ac:dyDescent="0.45">
      <c r="B50" s="184" t="s">
        <v>698</v>
      </c>
      <c r="C50" s="185">
        <v>17900</v>
      </c>
      <c r="D50" s="186">
        <f>0.025*0.15*4*C50</f>
        <v>268.5</v>
      </c>
      <c r="E50" s="196">
        <v>66.599999999999994</v>
      </c>
    </row>
    <row r="51" spans="2:5" s="36" customFormat="1" ht="25.15" customHeight="1" x14ac:dyDescent="0.45">
      <c r="B51" s="184" t="s">
        <v>726</v>
      </c>
      <c r="C51" s="185">
        <v>17900</v>
      </c>
      <c r="D51" s="186">
        <f>0.05*0.1*4*C51</f>
        <v>358.00000000000006</v>
      </c>
      <c r="E51" s="196">
        <v>50</v>
      </c>
    </row>
    <row r="52" spans="2:5" s="36" customFormat="1" ht="25.15" customHeight="1" thickBot="1" x14ac:dyDescent="0.5">
      <c r="B52" s="208" t="s">
        <v>727</v>
      </c>
      <c r="C52" s="299">
        <v>17900</v>
      </c>
      <c r="D52" s="277">
        <f>0.05*0.15*4*C52</f>
        <v>537</v>
      </c>
      <c r="E52" s="215">
        <v>33.299999999999997</v>
      </c>
    </row>
    <row r="53" spans="2:5" s="36" customFormat="1" ht="15" customHeight="1" thickBot="1" x14ac:dyDescent="0.5">
      <c r="B53" s="137"/>
      <c r="C53" s="201"/>
      <c r="D53" s="202"/>
      <c r="E53" s="137"/>
    </row>
    <row r="54" spans="2:5" s="36" customFormat="1" ht="26.45" customHeight="1" thickBot="1" x14ac:dyDescent="0.5">
      <c r="B54" s="741" t="s">
        <v>11</v>
      </c>
      <c r="C54" s="742"/>
      <c r="D54" s="742"/>
      <c r="E54" s="743"/>
    </row>
    <row r="55" spans="2:5" s="36" customFormat="1" ht="26.45" customHeight="1" x14ac:dyDescent="0.45">
      <c r="B55" s="184" t="s">
        <v>722</v>
      </c>
      <c r="C55" s="185">
        <v>17900</v>
      </c>
      <c r="D55" s="186">
        <f>0.04*0.15*5*C55</f>
        <v>537</v>
      </c>
      <c r="E55" s="196">
        <v>33.299999999999997</v>
      </c>
    </row>
    <row r="56" spans="2:5" s="36" customFormat="1" ht="26.45" customHeight="1" x14ac:dyDescent="0.45">
      <c r="B56" s="184" t="s">
        <v>723</v>
      </c>
      <c r="C56" s="185">
        <v>17900</v>
      </c>
      <c r="D56" s="186">
        <f>0.04*0.2*5*C56</f>
        <v>716</v>
      </c>
      <c r="E56" s="196">
        <v>25</v>
      </c>
    </row>
    <row r="57" spans="2:5" s="36" customFormat="1" ht="26.45" customHeight="1" x14ac:dyDescent="0.45">
      <c r="B57" s="184" t="s">
        <v>683</v>
      </c>
      <c r="C57" s="185">
        <v>17900</v>
      </c>
      <c r="D57" s="186">
        <f>0.05*0.15*5*C57</f>
        <v>671.25</v>
      </c>
      <c r="E57" s="196">
        <v>26.6</v>
      </c>
    </row>
    <row r="58" spans="2:5" s="36" customFormat="1" ht="29.45" customHeight="1" thickBot="1" x14ac:dyDescent="0.5">
      <c r="B58" s="167" t="s">
        <v>12</v>
      </c>
      <c r="C58" s="266">
        <v>17900</v>
      </c>
      <c r="D58" s="277">
        <f>0.05*0.2*5*C58</f>
        <v>895.00000000000023</v>
      </c>
      <c r="E58" s="297">
        <v>20</v>
      </c>
    </row>
    <row r="59" spans="2:5" s="36" customFormat="1" ht="11.45" customHeight="1" x14ac:dyDescent="0.45">
      <c r="B59" s="137"/>
      <c r="C59" s="201"/>
      <c r="D59" s="202"/>
      <c r="E59" s="137"/>
    </row>
    <row r="60" spans="2:5" s="36" customFormat="1" ht="11.45" customHeight="1" x14ac:dyDescent="0.45">
      <c r="B60" s="137"/>
      <c r="C60" s="201"/>
      <c r="D60" s="202"/>
      <c r="E60" s="137"/>
    </row>
    <row r="61" spans="2:5" s="36" customFormat="1" ht="27.75" customHeight="1" thickBot="1" x14ac:dyDescent="0.5">
      <c r="B61" s="137"/>
      <c r="C61" s="201"/>
      <c r="D61" s="202"/>
      <c r="E61" s="137"/>
    </row>
    <row r="62" spans="2:5" s="36" customFormat="1" ht="30" customHeight="1" thickBot="1" x14ac:dyDescent="0.5">
      <c r="B62" s="741" t="s">
        <v>13</v>
      </c>
      <c r="C62" s="742"/>
      <c r="D62" s="742"/>
      <c r="E62" s="743"/>
    </row>
    <row r="63" spans="2:5" s="36" customFormat="1" ht="33.6" customHeight="1" x14ac:dyDescent="0.45">
      <c r="B63" s="198" t="s">
        <v>14</v>
      </c>
      <c r="C63" s="416">
        <v>18000</v>
      </c>
      <c r="D63" s="275">
        <f>0.025*0.1*6*C63</f>
        <v>270.00000000000006</v>
      </c>
      <c r="E63" s="199">
        <v>66.599999999999994</v>
      </c>
    </row>
    <row r="64" spans="2:5" s="36" customFormat="1" ht="33.6" customHeight="1" x14ac:dyDescent="0.45">
      <c r="B64" s="190" t="s">
        <v>14</v>
      </c>
      <c r="C64" s="194">
        <v>19000</v>
      </c>
      <c r="D64" s="285">
        <f>0.025*0.1*6*C64</f>
        <v>285.00000000000006</v>
      </c>
      <c r="E64" s="189">
        <v>66.599999999999994</v>
      </c>
    </row>
    <row r="65" spans="2:5" s="36" customFormat="1" ht="33.6" customHeight="1" x14ac:dyDescent="0.45">
      <c r="B65" s="182" t="s">
        <v>14</v>
      </c>
      <c r="C65" s="557">
        <v>19500</v>
      </c>
      <c r="D65" s="276">
        <f>0.025*0.1*6*C65</f>
        <v>292.50000000000006</v>
      </c>
      <c r="E65" s="183">
        <v>66.599999999999994</v>
      </c>
    </row>
    <row r="66" spans="2:5" s="36" customFormat="1" ht="30" customHeight="1" x14ac:dyDescent="0.45">
      <c r="B66" s="184" t="s">
        <v>22</v>
      </c>
      <c r="C66" s="185">
        <v>19000</v>
      </c>
      <c r="D66" s="186">
        <f>0.025*0.15*6*C66</f>
        <v>427.5</v>
      </c>
      <c r="E66" s="187">
        <v>44.4</v>
      </c>
    </row>
    <row r="67" spans="2:5" s="36" customFormat="1" ht="30" customHeight="1" x14ac:dyDescent="0.45">
      <c r="B67" s="421" t="s">
        <v>22</v>
      </c>
      <c r="C67" s="422">
        <v>19500</v>
      </c>
      <c r="D67" s="423">
        <f>0.025*0.15*6*C67</f>
        <v>438.75</v>
      </c>
      <c r="E67" s="424">
        <v>44.4</v>
      </c>
    </row>
    <row r="68" spans="2:5" s="36" customFormat="1" ht="26.45" customHeight="1" thickBot="1" x14ac:dyDescent="0.5">
      <c r="B68" s="208" t="s">
        <v>657</v>
      </c>
      <c r="C68" s="266">
        <v>19000</v>
      </c>
      <c r="D68" s="277">
        <f>0.025*0.2*6*C68</f>
        <v>570.00000000000011</v>
      </c>
      <c r="E68" s="209">
        <v>33.299999999999997</v>
      </c>
    </row>
    <row r="69" spans="2:5" s="36" customFormat="1" ht="24" customHeight="1" x14ac:dyDescent="0.45">
      <c r="B69" s="203" t="s">
        <v>60</v>
      </c>
      <c r="C69" s="263">
        <v>19000</v>
      </c>
      <c r="D69" s="264">
        <f>0.032*0.1*6*C69</f>
        <v>364.8</v>
      </c>
      <c r="E69" s="265">
        <v>52</v>
      </c>
    </row>
    <row r="70" spans="2:5" s="36" customFormat="1" ht="24" customHeight="1" thickBot="1" x14ac:dyDescent="0.5">
      <c r="B70" s="204" t="s">
        <v>61</v>
      </c>
      <c r="C70" s="266">
        <v>19000</v>
      </c>
      <c r="D70" s="277">
        <f>0.032*0.15*6*C70</f>
        <v>547.19999999999993</v>
      </c>
      <c r="E70" s="559">
        <v>34.700000000000003</v>
      </c>
    </row>
    <row r="71" spans="2:5" s="36" customFormat="1" ht="3.6" customHeight="1" thickBot="1" x14ac:dyDescent="0.5">
      <c r="B71" s="168"/>
      <c r="C71" s="287"/>
      <c r="D71" s="200"/>
      <c r="E71" s="169"/>
    </row>
    <row r="72" spans="2:5" s="36" customFormat="1" ht="28.9" customHeight="1" x14ac:dyDescent="0.45">
      <c r="B72" s="203" t="s">
        <v>15</v>
      </c>
      <c r="C72" s="263">
        <v>19000</v>
      </c>
      <c r="D72" s="264">
        <f>0.04*0.1*6*C72</f>
        <v>456</v>
      </c>
      <c r="E72" s="265">
        <v>41.6</v>
      </c>
    </row>
    <row r="73" spans="2:5" s="36" customFormat="1" ht="28.9" customHeight="1" x14ac:dyDescent="0.45">
      <c r="B73" s="421" t="s">
        <v>15</v>
      </c>
      <c r="C73" s="422">
        <v>19500</v>
      </c>
      <c r="D73" s="423">
        <f>0.04*0.1*6*C73</f>
        <v>468</v>
      </c>
      <c r="E73" s="424">
        <v>41.6</v>
      </c>
    </row>
    <row r="74" spans="2:5" s="36" customFormat="1" ht="28.9" customHeight="1" x14ac:dyDescent="0.45">
      <c r="B74" s="190" t="s">
        <v>62</v>
      </c>
      <c r="C74" s="185">
        <v>19000</v>
      </c>
      <c r="D74" s="186">
        <f>0.04*0.15*6*C74</f>
        <v>684.00000000000011</v>
      </c>
      <c r="E74" s="189">
        <v>27.7</v>
      </c>
    </row>
    <row r="75" spans="2:5" s="36" customFormat="1" ht="28.9" customHeight="1" x14ac:dyDescent="0.45">
      <c r="B75" s="182" t="s">
        <v>62</v>
      </c>
      <c r="C75" s="422">
        <v>19500</v>
      </c>
      <c r="D75" s="423">
        <f>0.04*0.15*6*C75</f>
        <v>702.00000000000011</v>
      </c>
      <c r="E75" s="183">
        <v>27.7</v>
      </c>
    </row>
    <row r="76" spans="2:5" s="36" customFormat="1" ht="28.9" customHeight="1" x14ac:dyDescent="0.45">
      <c r="B76" s="190" t="s">
        <v>16</v>
      </c>
      <c r="C76" s="185">
        <v>19000</v>
      </c>
      <c r="D76" s="186">
        <f>0.04*0.2*6*C76</f>
        <v>912</v>
      </c>
      <c r="E76" s="189">
        <v>20.8</v>
      </c>
    </row>
    <row r="77" spans="2:5" s="36" customFormat="1" ht="28.9" customHeight="1" thickBot="1" x14ac:dyDescent="0.5">
      <c r="B77" s="644" t="s">
        <v>16</v>
      </c>
      <c r="C77" s="642">
        <v>19500</v>
      </c>
      <c r="D77" s="643">
        <f>0.04*0.2*6*C77</f>
        <v>936</v>
      </c>
      <c r="E77" s="645">
        <v>20.8</v>
      </c>
    </row>
    <row r="78" spans="2:5" s="36" customFormat="1" ht="4.1500000000000004" customHeight="1" thickBot="1" x14ac:dyDescent="0.5">
      <c r="B78" s="205"/>
      <c r="C78" s="287"/>
      <c r="D78" s="200"/>
      <c r="E78" s="207"/>
    </row>
    <row r="79" spans="2:5" s="36" customFormat="1" ht="27.6" customHeight="1" x14ac:dyDescent="0.45">
      <c r="B79" s="203" t="s">
        <v>17</v>
      </c>
      <c r="C79" s="263">
        <v>19000</v>
      </c>
      <c r="D79" s="264">
        <f>0.05*0.1*6*C79</f>
        <v>570.00000000000011</v>
      </c>
      <c r="E79" s="265">
        <v>33.299999999999997</v>
      </c>
    </row>
    <row r="80" spans="2:5" s="36" customFormat="1" ht="27.6" customHeight="1" x14ac:dyDescent="0.45">
      <c r="B80" s="421" t="s">
        <v>17</v>
      </c>
      <c r="C80" s="422">
        <v>19500</v>
      </c>
      <c r="D80" s="423">
        <f>0.05*0.1*6*C80</f>
        <v>585.00000000000011</v>
      </c>
      <c r="E80" s="424">
        <v>33.299999999999997</v>
      </c>
    </row>
    <row r="81" spans="2:5" s="36" customFormat="1" ht="27.6" customHeight="1" x14ac:dyDescent="0.45">
      <c r="B81" s="190" t="s">
        <v>18</v>
      </c>
      <c r="C81" s="185">
        <v>19000</v>
      </c>
      <c r="D81" s="186">
        <f>0.05*0.15*6*C81</f>
        <v>855</v>
      </c>
      <c r="E81" s="189">
        <v>22.2</v>
      </c>
    </row>
    <row r="82" spans="2:5" s="36" customFormat="1" ht="27.6" customHeight="1" x14ac:dyDescent="0.45">
      <c r="B82" s="182" t="s">
        <v>18</v>
      </c>
      <c r="C82" s="422">
        <v>19500</v>
      </c>
      <c r="D82" s="423">
        <f>0.05*0.15*6*C82</f>
        <v>877.5</v>
      </c>
      <c r="E82" s="183">
        <v>22.2</v>
      </c>
    </row>
    <row r="83" spans="2:5" s="36" customFormat="1" ht="27.6" customHeight="1" x14ac:dyDescent="0.45">
      <c r="B83" s="190" t="s">
        <v>19</v>
      </c>
      <c r="C83" s="185">
        <v>19000</v>
      </c>
      <c r="D83" s="186">
        <f>0.05*0.2*6*C83</f>
        <v>1140.0000000000002</v>
      </c>
      <c r="E83" s="189">
        <v>16.600000000000001</v>
      </c>
    </row>
    <row r="84" spans="2:5" s="36" customFormat="1" ht="27.6" customHeight="1" thickBot="1" x14ac:dyDescent="0.5">
      <c r="B84" s="646" t="s">
        <v>19</v>
      </c>
      <c r="C84" s="648">
        <v>19500</v>
      </c>
      <c r="D84" s="649">
        <f>0.05*0.2*6*C84</f>
        <v>1170.0000000000002</v>
      </c>
      <c r="E84" s="647">
        <v>16.600000000000001</v>
      </c>
    </row>
    <row r="85" spans="2:5" s="36" customFormat="1" ht="27.6" customHeight="1" thickBot="1" x14ac:dyDescent="0.5">
      <c r="B85" s="719" t="s">
        <v>20</v>
      </c>
      <c r="C85" s="720"/>
      <c r="D85" s="720"/>
      <c r="E85" s="721"/>
    </row>
    <row r="86" spans="2:5" s="36" customFormat="1" ht="27.6" customHeight="1" thickBot="1" x14ac:dyDescent="0.5">
      <c r="B86" s="741" t="s">
        <v>45</v>
      </c>
      <c r="C86" s="742"/>
      <c r="D86" s="742"/>
      <c r="E86" s="743"/>
    </row>
    <row r="87" spans="2:5" s="36" customFormat="1" ht="27.6" customHeight="1" x14ac:dyDescent="0.45">
      <c r="B87" s="193" t="s">
        <v>46</v>
      </c>
      <c r="C87" s="263">
        <v>8000</v>
      </c>
      <c r="D87" s="264">
        <f>0.025*0.08*2*C87</f>
        <v>32</v>
      </c>
      <c r="E87" s="265">
        <v>250</v>
      </c>
    </row>
    <row r="88" spans="2:5" s="36" customFormat="1" ht="27.6" customHeight="1" x14ac:dyDescent="0.45">
      <c r="B88" s="184" t="s">
        <v>47</v>
      </c>
      <c r="C88" s="210">
        <v>8000</v>
      </c>
      <c r="D88" s="186">
        <f>0.025*0.1*2*C88</f>
        <v>40.000000000000007</v>
      </c>
      <c r="E88" s="196">
        <v>200</v>
      </c>
    </row>
    <row r="89" spans="2:5" s="36" customFormat="1" ht="27.6" customHeight="1" x14ac:dyDescent="0.45">
      <c r="B89" s="184" t="s">
        <v>48</v>
      </c>
      <c r="C89" s="210">
        <v>8000</v>
      </c>
      <c r="D89" s="285">
        <f>0.025*0.15*2*C89</f>
        <v>60</v>
      </c>
      <c r="E89" s="196">
        <v>133.30000000000001</v>
      </c>
    </row>
    <row r="90" spans="2:5" s="36" customFormat="1" ht="27.6" customHeight="1" x14ac:dyDescent="0.45">
      <c r="B90" s="190" t="s">
        <v>49</v>
      </c>
      <c r="C90" s="211">
        <v>14000</v>
      </c>
      <c r="D90" s="285">
        <f>0.04*0.1*2*C90</f>
        <v>112</v>
      </c>
      <c r="E90" s="188">
        <v>125</v>
      </c>
    </row>
    <row r="91" spans="2:5" s="36" customFormat="1" ht="27.6" customHeight="1" x14ac:dyDescent="0.45">
      <c r="B91" s="204" t="s">
        <v>63</v>
      </c>
      <c r="C91" s="212">
        <v>14000</v>
      </c>
      <c r="D91" s="285">
        <f>0.04*0.15*2*C91</f>
        <v>168</v>
      </c>
      <c r="E91" s="213">
        <v>83.3</v>
      </c>
    </row>
    <row r="92" spans="2:5" s="36" customFormat="1" ht="27.6" customHeight="1" thickBot="1" x14ac:dyDescent="0.5">
      <c r="B92" s="208" t="s">
        <v>52</v>
      </c>
      <c r="C92" s="214">
        <v>14000</v>
      </c>
      <c r="D92" s="277">
        <f>0.05*0.15*2*C92</f>
        <v>210</v>
      </c>
      <c r="E92" s="215">
        <v>66.599999999999994</v>
      </c>
    </row>
    <row r="93" spans="2:5" s="36" customFormat="1" ht="27.6" customHeight="1" thickBot="1" x14ac:dyDescent="0.5">
      <c r="B93" s="741" t="s">
        <v>54</v>
      </c>
      <c r="C93" s="742"/>
      <c r="D93" s="742"/>
      <c r="E93" s="743"/>
    </row>
    <row r="94" spans="2:5" s="36" customFormat="1" ht="27.6" customHeight="1" x14ac:dyDescent="0.45">
      <c r="B94" s="198" t="s">
        <v>21</v>
      </c>
      <c r="C94" s="216">
        <v>12000</v>
      </c>
      <c r="D94" s="275">
        <f>0.025*0.1*3*C94</f>
        <v>90.000000000000014</v>
      </c>
      <c r="E94" s="199">
        <v>133.30000000000001</v>
      </c>
    </row>
    <row r="95" spans="2:5" s="36" customFormat="1" ht="27.6" customHeight="1" x14ac:dyDescent="0.45">
      <c r="B95" s="182" t="s">
        <v>10</v>
      </c>
      <c r="C95" s="217">
        <v>12000</v>
      </c>
      <c r="D95" s="276">
        <f>0.025*0.15*3*C95</f>
        <v>135</v>
      </c>
      <c r="E95" s="183">
        <v>88.8</v>
      </c>
    </row>
    <row r="96" spans="2:5" s="36" customFormat="1" ht="27.6" customHeight="1" x14ac:dyDescent="0.45">
      <c r="B96" s="190" t="s">
        <v>55</v>
      </c>
      <c r="C96" s="210">
        <v>15900</v>
      </c>
      <c r="D96" s="285">
        <f>0.04*0.1*3*C96</f>
        <v>190.8</v>
      </c>
      <c r="E96" s="189">
        <v>83.3</v>
      </c>
    </row>
    <row r="97" spans="2:5" s="36" customFormat="1" ht="27.6" customHeight="1" x14ac:dyDescent="0.45">
      <c r="B97" s="190" t="s">
        <v>57</v>
      </c>
      <c r="C97" s="210">
        <v>15900</v>
      </c>
      <c r="D97" s="285">
        <f>0.05*0.1*3*C97</f>
        <v>238.50000000000006</v>
      </c>
      <c r="E97" s="189">
        <v>66.599999999999994</v>
      </c>
    </row>
    <row r="98" spans="2:5" s="36" customFormat="1" ht="27.6" customHeight="1" x14ac:dyDescent="0.45">
      <c r="B98" s="190" t="s">
        <v>58</v>
      </c>
      <c r="C98" s="211">
        <v>15900</v>
      </c>
      <c r="D98" s="285">
        <f>0.05*0.15*3*C98</f>
        <v>357.75</v>
      </c>
      <c r="E98" s="189">
        <v>44.4</v>
      </c>
    </row>
    <row r="99" spans="2:5" s="36" customFormat="1" ht="27.6" customHeight="1" thickBot="1" x14ac:dyDescent="0.5">
      <c r="B99" s="167" t="s">
        <v>59</v>
      </c>
      <c r="C99" s="266">
        <v>15900</v>
      </c>
      <c r="D99" s="277">
        <f>0.05*0.2*3*C99</f>
        <v>477.00000000000011</v>
      </c>
      <c r="E99" s="417">
        <v>33.299999999999997</v>
      </c>
    </row>
    <row r="100" spans="2:5" s="36" customFormat="1" ht="27.6" customHeight="1" thickBot="1" x14ac:dyDescent="0.5">
      <c r="B100" s="741" t="s">
        <v>666</v>
      </c>
      <c r="C100" s="742"/>
      <c r="D100" s="742"/>
      <c r="E100" s="743"/>
    </row>
    <row r="101" spans="2:5" s="36" customFormat="1" ht="27.6" customHeight="1" x14ac:dyDescent="0.45">
      <c r="B101" s="184" t="s">
        <v>715</v>
      </c>
      <c r="C101" s="185">
        <v>13000</v>
      </c>
      <c r="D101" s="186">
        <f>0.025*0.1*4*C101</f>
        <v>130.00000000000003</v>
      </c>
      <c r="E101" s="187">
        <v>100</v>
      </c>
    </row>
    <row r="102" spans="2:5" s="36" customFormat="1" ht="27.6" customHeight="1" x14ac:dyDescent="0.45">
      <c r="B102" s="190" t="s">
        <v>698</v>
      </c>
      <c r="C102" s="194">
        <v>13000</v>
      </c>
      <c r="D102" s="285">
        <f>0.025*0.15*4*C102</f>
        <v>195</v>
      </c>
      <c r="E102" s="189">
        <v>66.599999999999994</v>
      </c>
    </row>
    <row r="103" spans="2:5" s="36" customFormat="1" ht="27.6" customHeight="1" x14ac:dyDescent="0.45">
      <c r="B103" s="184" t="s">
        <v>726</v>
      </c>
      <c r="C103" s="185">
        <v>15900</v>
      </c>
      <c r="D103" s="186">
        <f>0.05*0.1*4*C103</f>
        <v>318.00000000000006</v>
      </c>
      <c r="E103" s="187">
        <v>50</v>
      </c>
    </row>
    <row r="104" spans="2:5" s="36" customFormat="1" ht="27.6" customHeight="1" thickBot="1" x14ac:dyDescent="0.5">
      <c r="B104" s="208" t="s">
        <v>727</v>
      </c>
      <c r="C104" s="299">
        <v>15900</v>
      </c>
      <c r="D104" s="277">
        <f>0.05*0.15*4*C104</f>
        <v>477</v>
      </c>
      <c r="E104" s="209">
        <v>33.299999999999997</v>
      </c>
    </row>
    <row r="105" spans="2:5" s="36" customFormat="1" ht="27.6" customHeight="1" thickBot="1" x14ac:dyDescent="0.5">
      <c r="B105" s="741" t="s">
        <v>13</v>
      </c>
      <c r="C105" s="742"/>
      <c r="D105" s="742"/>
      <c r="E105" s="743"/>
    </row>
    <row r="106" spans="2:5" s="36" customFormat="1" ht="27.6" customHeight="1" x14ac:dyDescent="0.45">
      <c r="B106" s="421" t="s">
        <v>14</v>
      </c>
      <c r="C106" s="422">
        <v>12000</v>
      </c>
      <c r="D106" s="423">
        <f>0.025*0.1*6*C106</f>
        <v>180.00000000000003</v>
      </c>
      <c r="E106" s="424">
        <v>66.599999999999994</v>
      </c>
    </row>
    <row r="107" spans="2:5" s="36" customFormat="1" ht="27.6" customHeight="1" x14ac:dyDescent="0.45">
      <c r="B107" s="191" t="s">
        <v>22</v>
      </c>
      <c r="C107" s="279">
        <v>13500</v>
      </c>
      <c r="D107" s="186">
        <f>0.025*0.15*6*C107</f>
        <v>303.75</v>
      </c>
      <c r="E107" s="192">
        <v>44.4</v>
      </c>
    </row>
    <row r="108" spans="2:5" s="36" customFormat="1" ht="27.6" customHeight="1" thickBot="1" x14ac:dyDescent="0.5">
      <c r="B108" s="191" t="s">
        <v>657</v>
      </c>
      <c r="C108" s="279">
        <v>13500</v>
      </c>
      <c r="D108" s="186">
        <f>0.025*0.2*6*C108</f>
        <v>405.00000000000006</v>
      </c>
      <c r="E108" s="192">
        <v>33.299999999999997</v>
      </c>
    </row>
    <row r="109" spans="2:5" s="36" customFormat="1" ht="3.6" customHeight="1" thickBot="1" x14ac:dyDescent="0.5">
      <c r="B109" s="205"/>
      <c r="C109" s="206"/>
      <c r="D109" s="278"/>
      <c r="E109" s="207"/>
    </row>
    <row r="110" spans="2:5" s="36" customFormat="1" ht="27.6" customHeight="1" x14ac:dyDescent="0.45">
      <c r="B110" s="184" t="s">
        <v>60</v>
      </c>
      <c r="C110" s="185">
        <v>16500</v>
      </c>
      <c r="D110" s="186">
        <f>0.032*0.1*6*C110</f>
        <v>316.8</v>
      </c>
      <c r="E110" s="187">
        <v>52</v>
      </c>
    </row>
    <row r="111" spans="2:5" s="36" customFormat="1" ht="27.6" customHeight="1" x14ac:dyDescent="0.45">
      <c r="B111" s="184" t="s">
        <v>15</v>
      </c>
      <c r="C111" s="185">
        <v>16500</v>
      </c>
      <c r="D111" s="186">
        <f>0.04*0.1*6*C111</f>
        <v>396</v>
      </c>
      <c r="E111" s="187">
        <v>41.6</v>
      </c>
    </row>
    <row r="112" spans="2:5" s="36" customFormat="1" ht="27.6" customHeight="1" x14ac:dyDescent="0.45">
      <c r="B112" s="184" t="s">
        <v>62</v>
      </c>
      <c r="C112" s="210">
        <v>16500</v>
      </c>
      <c r="D112" s="186">
        <f>0.04*0.15*6*C112</f>
        <v>594.00000000000011</v>
      </c>
      <c r="E112" s="187">
        <v>27.7</v>
      </c>
    </row>
    <row r="113" spans="2:13" s="36" customFormat="1" ht="27.6" customHeight="1" thickBot="1" x14ac:dyDescent="0.5">
      <c r="B113" s="184" t="s">
        <v>16</v>
      </c>
      <c r="C113" s="185">
        <v>16500</v>
      </c>
      <c r="D113" s="186">
        <f>0.04*0.2*6*C113</f>
        <v>792</v>
      </c>
      <c r="E113" s="187">
        <v>20.8</v>
      </c>
    </row>
    <row r="114" spans="2:13" s="36" customFormat="1" ht="3.6" customHeight="1" thickBot="1" x14ac:dyDescent="0.5">
      <c r="B114" s="205"/>
      <c r="C114" s="206"/>
      <c r="D114" s="200"/>
      <c r="E114" s="207"/>
    </row>
    <row r="115" spans="2:13" s="36" customFormat="1" ht="26.45" customHeight="1" x14ac:dyDescent="0.45">
      <c r="B115" s="218" t="s">
        <v>17</v>
      </c>
      <c r="C115" s="219">
        <v>16500</v>
      </c>
      <c r="D115" s="186">
        <f>0.05*0.1*6*C115</f>
        <v>495.00000000000011</v>
      </c>
      <c r="E115" s="220">
        <v>33.299999999999997</v>
      </c>
    </row>
    <row r="116" spans="2:13" s="36" customFormat="1" ht="27.6" customHeight="1" x14ac:dyDescent="0.45">
      <c r="B116" s="218" t="s">
        <v>18</v>
      </c>
      <c r="C116" s="219">
        <v>16500</v>
      </c>
      <c r="D116" s="186">
        <f>0.05*0.15*6*C116</f>
        <v>742.5</v>
      </c>
      <c r="E116" s="220">
        <v>22.2</v>
      </c>
    </row>
    <row r="117" spans="2:13" s="36" customFormat="1" ht="27.6" customHeight="1" thickBot="1" x14ac:dyDescent="0.5">
      <c r="B117" s="221" t="s">
        <v>19</v>
      </c>
      <c r="C117" s="222">
        <v>16500</v>
      </c>
      <c r="D117" s="186">
        <f>0.05*0.2*6*C117</f>
        <v>990.00000000000023</v>
      </c>
      <c r="E117" s="188">
        <v>16.600000000000001</v>
      </c>
    </row>
    <row r="118" spans="2:13" ht="15" customHeight="1" thickBot="1" x14ac:dyDescent="0.25">
      <c r="B118" s="736" t="s">
        <v>655</v>
      </c>
      <c r="C118" s="737"/>
      <c r="D118" s="737"/>
      <c r="E118" s="738"/>
    </row>
    <row r="119" spans="2:13" ht="15" customHeight="1" x14ac:dyDescent="0.2"/>
    <row r="120" spans="2:13" ht="15" customHeight="1" x14ac:dyDescent="0.2"/>
    <row r="121" spans="2:13" ht="15" customHeight="1" x14ac:dyDescent="1.1499999999999999">
      <c r="M121" s="3"/>
    </row>
    <row r="122" spans="2:13" ht="15" customHeight="1" x14ac:dyDescent="0.2"/>
    <row r="123" spans="2:13" ht="15" customHeight="1" x14ac:dyDescent="0.2"/>
    <row r="124" spans="2:13" ht="20.25" customHeight="1" x14ac:dyDescent="0.2"/>
  </sheetData>
  <mergeCells count="22">
    <mergeCell ref="B12:E12"/>
    <mergeCell ref="B54:E54"/>
    <mergeCell ref="B48:E48"/>
    <mergeCell ref="B39:E39"/>
    <mergeCell ref="B25:E25"/>
    <mergeCell ref="B24:E24"/>
    <mergeCell ref="B10:E10"/>
    <mergeCell ref="B118:E118"/>
    <mergeCell ref="B1:E1"/>
    <mergeCell ref="B2:E2"/>
    <mergeCell ref="B3:E3"/>
    <mergeCell ref="B4:E4"/>
    <mergeCell ref="B5:E5"/>
    <mergeCell ref="B6:E6"/>
    <mergeCell ref="B8:E8"/>
    <mergeCell ref="B9:E9"/>
    <mergeCell ref="B105:E105"/>
    <mergeCell ref="B100:E100"/>
    <mergeCell ref="B93:E93"/>
    <mergeCell ref="B86:E86"/>
    <mergeCell ref="B85:E85"/>
    <mergeCell ref="B62:E62"/>
  </mergeCells>
  <pageMargins left="0.19700000000000001" right="0.157" top="0.157" bottom="0.157" header="0.19700000000000001" footer="0.157"/>
  <pageSetup paperSize="9" scale="57" fitToHeight="2" orientation="portrait" r:id="rId1"/>
  <rowBreaks count="1" manualBreakCount="1">
    <brk id="59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67"/>
  <sheetViews>
    <sheetView workbookViewId="0">
      <selection activeCell="A9" sqref="A1:E1048576"/>
    </sheetView>
  </sheetViews>
  <sheetFormatPr defaultColWidth="10" defaultRowHeight="23.25" x14ac:dyDescent="0.35"/>
  <cols>
    <col min="1" max="1" width="79.140625" style="20" customWidth="1"/>
    <col min="2" max="2" width="23.140625" style="20" customWidth="1"/>
    <col min="3" max="3" width="32.28515625" style="20" customWidth="1"/>
    <col min="4" max="4" width="14" style="20" customWidth="1"/>
    <col min="5" max="5" width="15.42578125" customWidth="1"/>
  </cols>
  <sheetData>
    <row r="1" spans="1:6" ht="15.75" x14ac:dyDescent="0.25">
      <c r="A1" s="817" t="s">
        <v>0</v>
      </c>
      <c r="B1" s="817"/>
      <c r="C1" s="817"/>
      <c r="D1" s="817"/>
      <c r="E1" s="817"/>
    </row>
    <row r="2" spans="1:6" ht="15.75" x14ac:dyDescent="0.25">
      <c r="A2" s="817" t="s">
        <v>1</v>
      </c>
      <c r="B2" s="817"/>
      <c r="C2" s="817"/>
      <c r="D2" s="817"/>
      <c r="E2" s="817"/>
    </row>
    <row r="3" spans="1:6" ht="15.75" x14ac:dyDescent="0.25">
      <c r="A3" s="817" t="s">
        <v>102</v>
      </c>
      <c r="B3" s="817"/>
      <c r="C3" s="817"/>
      <c r="D3" s="817"/>
      <c r="E3" s="817"/>
    </row>
    <row r="4" spans="1:6" ht="15.75" x14ac:dyDescent="0.25">
      <c r="A4" s="817" t="s">
        <v>920</v>
      </c>
      <c r="B4" s="817"/>
      <c r="C4" s="817"/>
      <c r="D4" s="817"/>
      <c r="E4" s="817"/>
    </row>
    <row r="5" spans="1:6" ht="15.75" x14ac:dyDescent="0.25">
      <c r="A5" s="817" t="s">
        <v>1105</v>
      </c>
      <c r="B5" s="817"/>
      <c r="C5" s="817"/>
      <c r="D5" s="817"/>
      <c r="E5" s="817"/>
    </row>
    <row r="6" spans="1:6" ht="15.75" x14ac:dyDescent="0.25">
      <c r="A6" s="817" t="s">
        <v>37</v>
      </c>
      <c r="B6" s="817"/>
      <c r="C6" s="817"/>
      <c r="D6" s="817"/>
      <c r="E6" s="817"/>
    </row>
    <row r="7" spans="1:6" ht="18.75" x14ac:dyDescent="0.3">
      <c r="A7" s="848" t="s">
        <v>1095</v>
      </c>
      <c r="B7" s="848"/>
      <c r="C7" s="848"/>
      <c r="D7" s="848"/>
      <c r="E7" s="848"/>
    </row>
    <row r="8" spans="1:6" ht="16.5" thickBot="1" x14ac:dyDescent="0.3">
      <c r="A8" s="828" t="s">
        <v>1096</v>
      </c>
      <c r="B8" s="828"/>
      <c r="C8" s="828"/>
      <c r="D8" s="828"/>
      <c r="E8" s="828"/>
    </row>
    <row r="9" spans="1:6" ht="13.9" customHeight="1" thickBot="1" x14ac:dyDescent="0.25">
      <c r="A9" s="455" t="s">
        <v>5</v>
      </c>
      <c r="B9" s="820" t="s">
        <v>973</v>
      </c>
      <c r="C9" s="821"/>
      <c r="D9" s="455" t="s">
        <v>974</v>
      </c>
      <c r="E9" s="455" t="s">
        <v>982</v>
      </c>
    </row>
    <row r="10" spans="1:6" ht="19.5" thickBot="1" x14ac:dyDescent="0.25">
      <c r="A10" s="765" t="s">
        <v>1023</v>
      </c>
      <c r="B10" s="766"/>
      <c r="C10" s="766"/>
      <c r="D10" s="766"/>
      <c r="E10" s="767"/>
    </row>
    <row r="11" spans="1:6" ht="20.25" x14ac:dyDescent="0.3">
      <c r="A11" s="607" t="s">
        <v>1025</v>
      </c>
      <c r="B11" s="898" t="s">
        <v>1024</v>
      </c>
      <c r="C11" s="898" t="s">
        <v>1028</v>
      </c>
      <c r="D11" s="608">
        <v>930</v>
      </c>
      <c r="E11" s="546" t="s">
        <v>983</v>
      </c>
      <c r="F11" s="1"/>
    </row>
    <row r="12" spans="1:6" s="298" customFormat="1" ht="21" thickBot="1" x14ac:dyDescent="0.35">
      <c r="A12" s="609" t="s">
        <v>1026</v>
      </c>
      <c r="B12" s="902"/>
      <c r="C12" s="902"/>
      <c r="D12" s="610">
        <v>1050</v>
      </c>
      <c r="E12" s="547" t="s">
        <v>983</v>
      </c>
    </row>
    <row r="13" spans="1:6" ht="20.25" x14ac:dyDescent="0.3">
      <c r="A13" s="607" t="s">
        <v>1025</v>
      </c>
      <c r="B13" s="901" t="s">
        <v>1027</v>
      </c>
      <c r="C13" s="901" t="s">
        <v>1029</v>
      </c>
      <c r="D13" s="610">
        <v>1350</v>
      </c>
      <c r="E13" s="546" t="s">
        <v>983</v>
      </c>
    </row>
    <row r="14" spans="1:6" ht="21" thickBot="1" x14ac:dyDescent="0.35">
      <c r="A14" s="609" t="s">
        <v>1026</v>
      </c>
      <c r="B14" s="902"/>
      <c r="C14" s="902"/>
      <c r="D14" s="610">
        <v>1450</v>
      </c>
      <c r="E14" s="547" t="s">
        <v>983</v>
      </c>
    </row>
    <row r="15" spans="1:6" ht="20.25" x14ac:dyDescent="0.3">
      <c r="A15" s="609" t="s">
        <v>1030</v>
      </c>
      <c r="B15" s="901" t="s">
        <v>1024</v>
      </c>
      <c r="C15" s="898" t="s">
        <v>1028</v>
      </c>
      <c r="D15" s="610">
        <v>990</v>
      </c>
      <c r="E15" s="547" t="s">
        <v>983</v>
      </c>
    </row>
    <row r="16" spans="1:6" s="298" customFormat="1" ht="20.25" x14ac:dyDescent="0.3">
      <c r="A16" s="611" t="s">
        <v>1031</v>
      </c>
      <c r="B16" s="902"/>
      <c r="C16" s="902"/>
      <c r="D16" s="610">
        <v>1350</v>
      </c>
      <c r="E16" s="547" t="s">
        <v>983</v>
      </c>
    </row>
    <row r="17" spans="1:5" ht="20.25" x14ac:dyDescent="0.3">
      <c r="A17" s="609" t="s">
        <v>1030</v>
      </c>
      <c r="B17" s="901" t="s">
        <v>1027</v>
      </c>
      <c r="C17" s="901" t="s">
        <v>1029</v>
      </c>
      <c r="D17" s="610">
        <v>1500</v>
      </c>
      <c r="E17" s="547" t="s">
        <v>983</v>
      </c>
    </row>
    <row r="18" spans="1:5" ht="21" thickBot="1" x14ac:dyDescent="0.35">
      <c r="A18" s="611" t="s">
        <v>1031</v>
      </c>
      <c r="B18" s="902"/>
      <c r="C18" s="902"/>
      <c r="D18" s="610">
        <v>1990</v>
      </c>
      <c r="E18" s="547" t="s">
        <v>983</v>
      </c>
    </row>
    <row r="19" spans="1:5" ht="19.5" thickBot="1" x14ac:dyDescent="0.25">
      <c r="A19" s="765" t="s">
        <v>1032</v>
      </c>
      <c r="B19" s="766"/>
      <c r="C19" s="766"/>
      <c r="D19" s="766"/>
      <c r="E19" s="767"/>
    </row>
    <row r="20" spans="1:5" s="298" customFormat="1" ht="20.25" x14ac:dyDescent="0.3">
      <c r="A20" s="607" t="s">
        <v>1025</v>
      </c>
      <c r="B20" s="898" t="s">
        <v>1024</v>
      </c>
      <c r="C20" s="898" t="s">
        <v>1034</v>
      </c>
      <c r="D20" s="608">
        <v>930</v>
      </c>
      <c r="E20" s="547" t="s">
        <v>983</v>
      </c>
    </row>
    <row r="21" spans="1:5" ht="21" thickBot="1" x14ac:dyDescent="0.35">
      <c r="A21" s="609" t="s">
        <v>1026</v>
      </c>
      <c r="B21" s="902"/>
      <c r="C21" s="902"/>
      <c r="D21" s="610">
        <v>1050</v>
      </c>
      <c r="E21" s="547" t="s">
        <v>983</v>
      </c>
    </row>
    <row r="22" spans="1:5" ht="20.25" x14ac:dyDescent="0.3">
      <c r="A22" s="609" t="s">
        <v>1030</v>
      </c>
      <c r="B22" s="901" t="s">
        <v>1024</v>
      </c>
      <c r="C22" s="898" t="s">
        <v>1034</v>
      </c>
      <c r="D22" s="610">
        <v>1050</v>
      </c>
      <c r="E22" s="547" t="s">
        <v>983</v>
      </c>
    </row>
    <row r="23" spans="1:5" ht="21" thickBot="1" x14ac:dyDescent="0.35">
      <c r="A23" s="611" t="s">
        <v>1031</v>
      </c>
      <c r="B23" s="902"/>
      <c r="C23" s="902"/>
      <c r="D23" s="610">
        <v>1350</v>
      </c>
      <c r="E23" s="547" t="s">
        <v>983</v>
      </c>
    </row>
    <row r="24" spans="1:5" ht="20.25" x14ac:dyDescent="0.3">
      <c r="A24" s="609" t="s">
        <v>1035</v>
      </c>
      <c r="B24" s="901" t="s">
        <v>1024</v>
      </c>
      <c r="C24" s="898" t="s">
        <v>1034</v>
      </c>
      <c r="D24" s="610">
        <v>1340</v>
      </c>
      <c r="E24" s="546" t="s">
        <v>983</v>
      </c>
    </row>
    <row r="25" spans="1:5" ht="18.75" customHeight="1" thickBot="1" x14ac:dyDescent="0.35">
      <c r="A25" s="611" t="s">
        <v>1033</v>
      </c>
      <c r="B25" s="902"/>
      <c r="C25" s="902"/>
      <c r="D25" s="610">
        <v>1580</v>
      </c>
      <c r="E25" s="547" t="s">
        <v>983</v>
      </c>
    </row>
    <row r="26" spans="1:5" ht="19.5" thickBot="1" x14ac:dyDescent="0.25">
      <c r="A26" s="765" t="s">
        <v>1070</v>
      </c>
      <c r="B26" s="766"/>
      <c r="C26" s="766"/>
      <c r="D26" s="766"/>
      <c r="E26" s="767"/>
    </row>
    <row r="27" spans="1:5" ht="21" thickBot="1" x14ac:dyDescent="0.35">
      <c r="A27" s="632" t="s">
        <v>1074</v>
      </c>
      <c r="B27" s="633" t="s">
        <v>1024</v>
      </c>
      <c r="C27" s="633" t="s">
        <v>1071</v>
      </c>
      <c r="D27" s="636" t="s">
        <v>1075</v>
      </c>
      <c r="E27" s="630" t="s">
        <v>983</v>
      </c>
    </row>
    <row r="28" spans="1:5" ht="21" thickBot="1" x14ac:dyDescent="0.35">
      <c r="A28" s="634" t="s">
        <v>1074</v>
      </c>
      <c r="B28" s="633" t="s">
        <v>1072</v>
      </c>
      <c r="C28" s="633" t="s">
        <v>1073</v>
      </c>
      <c r="D28" s="636" t="s">
        <v>1076</v>
      </c>
      <c r="E28" s="629" t="s">
        <v>983</v>
      </c>
    </row>
    <row r="29" spans="1:5" ht="21" thickBot="1" x14ac:dyDescent="0.35">
      <c r="A29" s="635" t="s">
        <v>1077</v>
      </c>
      <c r="B29" s="633" t="s">
        <v>1078</v>
      </c>
      <c r="C29" s="633" t="s">
        <v>1071</v>
      </c>
      <c r="D29" s="636" t="s">
        <v>1079</v>
      </c>
      <c r="E29" s="631" t="s">
        <v>983</v>
      </c>
    </row>
    <row r="30" spans="1:5" ht="19.5" thickBot="1" x14ac:dyDescent="0.25">
      <c r="A30" s="765" t="s">
        <v>1036</v>
      </c>
      <c r="B30" s="766"/>
      <c r="C30" s="766"/>
      <c r="D30" s="766"/>
      <c r="E30" s="767"/>
    </row>
    <row r="31" spans="1:5" ht="20.25" x14ac:dyDescent="0.3">
      <c r="A31" s="898" t="s">
        <v>1037</v>
      </c>
      <c r="B31" s="140" t="s">
        <v>950</v>
      </c>
      <c r="C31" s="612" t="s">
        <v>1040</v>
      </c>
      <c r="D31" s="610">
        <v>900</v>
      </c>
      <c r="E31" s="547" t="s">
        <v>983</v>
      </c>
    </row>
    <row r="32" spans="1:5" ht="20.25" x14ac:dyDescent="0.3">
      <c r="A32" s="899"/>
      <c r="B32" s="140" t="s">
        <v>1038</v>
      </c>
      <c r="C32" s="612" t="s">
        <v>1041</v>
      </c>
      <c r="D32" s="610">
        <v>1650</v>
      </c>
      <c r="E32" s="547" t="s">
        <v>983</v>
      </c>
    </row>
    <row r="33" spans="1:5" ht="21" thickBot="1" x14ac:dyDescent="0.35">
      <c r="A33" s="902"/>
      <c r="B33" s="140" t="s">
        <v>1039</v>
      </c>
      <c r="C33" s="612" t="s">
        <v>1042</v>
      </c>
      <c r="D33" s="610">
        <v>2250</v>
      </c>
      <c r="E33" s="547" t="s">
        <v>983</v>
      </c>
    </row>
    <row r="34" spans="1:5" ht="19.5" thickBot="1" x14ac:dyDescent="0.25">
      <c r="A34" s="765" t="s">
        <v>1043</v>
      </c>
      <c r="B34" s="766"/>
      <c r="C34" s="766"/>
      <c r="D34" s="766"/>
      <c r="E34" s="767"/>
    </row>
    <row r="35" spans="1:5" ht="15.75" x14ac:dyDescent="0.25">
      <c r="A35" s="602" t="s">
        <v>668</v>
      </c>
      <c r="B35" s="603" t="s">
        <v>1045</v>
      </c>
      <c r="C35" s="602" t="s">
        <v>1046</v>
      </c>
      <c r="D35" s="604" t="s">
        <v>1047</v>
      </c>
      <c r="E35" s="547"/>
    </row>
    <row r="36" spans="1:5" ht="21" thickBot="1" x14ac:dyDescent="0.35">
      <c r="A36" s="609" t="s">
        <v>1044</v>
      </c>
      <c r="B36" s="140" t="s">
        <v>1048</v>
      </c>
      <c r="C36" s="612">
        <v>156</v>
      </c>
      <c r="D36" s="610">
        <v>312</v>
      </c>
      <c r="E36" s="547" t="s">
        <v>983</v>
      </c>
    </row>
    <row r="37" spans="1:5" ht="20.25" x14ac:dyDescent="0.3">
      <c r="A37" s="609" t="s">
        <v>1049</v>
      </c>
      <c r="B37" s="140" t="s">
        <v>1048</v>
      </c>
      <c r="C37" s="612">
        <v>213</v>
      </c>
      <c r="D37" s="610">
        <v>426</v>
      </c>
      <c r="E37" s="546" t="s">
        <v>983</v>
      </c>
    </row>
    <row r="38" spans="1:5" ht="20.25" x14ac:dyDescent="0.3">
      <c r="A38" s="609" t="s">
        <v>1049</v>
      </c>
      <c r="B38" s="140" t="s">
        <v>1059</v>
      </c>
      <c r="C38" s="612">
        <v>240</v>
      </c>
      <c r="D38" s="610">
        <v>480</v>
      </c>
      <c r="E38" s="547" t="s">
        <v>983</v>
      </c>
    </row>
    <row r="39" spans="1:5" ht="20.25" x14ac:dyDescent="0.3">
      <c r="A39" s="609" t="s">
        <v>1058</v>
      </c>
      <c r="B39" s="140" t="s">
        <v>1059</v>
      </c>
      <c r="C39" s="612">
        <v>319</v>
      </c>
      <c r="D39" s="610">
        <v>638</v>
      </c>
      <c r="E39" s="547" t="s">
        <v>983</v>
      </c>
    </row>
    <row r="40" spans="1:5" ht="20.25" x14ac:dyDescent="0.3">
      <c r="A40" s="609" t="s">
        <v>1050</v>
      </c>
      <c r="B40" s="140" t="s">
        <v>1059</v>
      </c>
      <c r="C40" s="612">
        <v>394</v>
      </c>
      <c r="D40" s="610">
        <v>788</v>
      </c>
      <c r="E40" s="547" t="s">
        <v>983</v>
      </c>
    </row>
    <row r="41" spans="1:5" ht="20.25" x14ac:dyDescent="0.3">
      <c r="A41" s="613" t="s">
        <v>1051</v>
      </c>
      <c r="B41" s="614" t="s">
        <v>1048</v>
      </c>
      <c r="C41" s="615">
        <v>325</v>
      </c>
      <c r="D41" s="616">
        <v>650</v>
      </c>
      <c r="E41" s="606" t="s">
        <v>983</v>
      </c>
    </row>
    <row r="42" spans="1:5" ht="20.25" x14ac:dyDescent="0.3">
      <c r="A42" s="613" t="s">
        <v>1051</v>
      </c>
      <c r="B42" s="614" t="s">
        <v>1059</v>
      </c>
      <c r="C42" s="615">
        <v>378</v>
      </c>
      <c r="D42" s="616">
        <v>756</v>
      </c>
      <c r="E42" s="606" t="s">
        <v>983</v>
      </c>
    </row>
    <row r="43" spans="1:5" ht="20.25" x14ac:dyDescent="0.3">
      <c r="A43" s="609" t="s">
        <v>1052</v>
      </c>
      <c r="B43" s="475" t="s">
        <v>1048</v>
      </c>
      <c r="C43" s="617">
        <v>435</v>
      </c>
      <c r="D43" s="618">
        <v>870</v>
      </c>
      <c r="E43" s="549" t="s">
        <v>983</v>
      </c>
    </row>
    <row r="44" spans="1:5" ht="20.25" x14ac:dyDescent="0.3">
      <c r="A44" s="619" t="s">
        <v>1052</v>
      </c>
      <c r="B44" s="620" t="s">
        <v>1059</v>
      </c>
      <c r="C44" s="620" t="s">
        <v>1061</v>
      </c>
      <c r="D44" s="621" t="s">
        <v>1069</v>
      </c>
      <c r="E44" s="549" t="s">
        <v>983</v>
      </c>
    </row>
    <row r="45" spans="1:5" ht="20.25" x14ac:dyDescent="0.3">
      <c r="A45" s="609" t="s">
        <v>1053</v>
      </c>
      <c r="B45" s="39" t="s">
        <v>1048</v>
      </c>
      <c r="C45" s="39">
        <v>560</v>
      </c>
      <c r="D45" s="622">
        <v>1120</v>
      </c>
      <c r="E45" s="605" t="s">
        <v>983</v>
      </c>
    </row>
    <row r="46" spans="1:5" ht="20.25" x14ac:dyDescent="0.3">
      <c r="A46" s="609" t="s">
        <v>1053</v>
      </c>
      <c r="B46" s="261" t="s">
        <v>1059</v>
      </c>
      <c r="C46" s="261">
        <v>663</v>
      </c>
      <c r="D46" s="623">
        <v>1326</v>
      </c>
      <c r="E46" s="547" t="s">
        <v>983</v>
      </c>
    </row>
    <row r="47" spans="1:5" ht="20.25" x14ac:dyDescent="0.3">
      <c r="A47" s="609" t="s">
        <v>1054</v>
      </c>
      <c r="B47" s="261" t="s">
        <v>1048</v>
      </c>
      <c r="C47" s="261">
        <v>563</v>
      </c>
      <c r="D47" s="623">
        <v>1126</v>
      </c>
      <c r="E47" s="547" t="s">
        <v>983</v>
      </c>
    </row>
    <row r="48" spans="1:5" ht="20.25" x14ac:dyDescent="0.3">
      <c r="A48" s="613" t="s">
        <v>1055</v>
      </c>
      <c r="B48" s="624" t="s">
        <v>1059</v>
      </c>
      <c r="C48" s="624">
        <v>743</v>
      </c>
      <c r="D48" s="625">
        <v>1486</v>
      </c>
      <c r="E48" s="606" t="s">
        <v>983</v>
      </c>
    </row>
    <row r="49" spans="1:5" ht="20.25" x14ac:dyDescent="0.3">
      <c r="A49" s="613" t="s">
        <v>1055</v>
      </c>
      <c r="B49" s="624" t="s">
        <v>1060</v>
      </c>
      <c r="C49" s="624">
        <v>1100</v>
      </c>
      <c r="D49" s="625">
        <v>2200</v>
      </c>
      <c r="E49" s="606" t="s">
        <v>983</v>
      </c>
    </row>
    <row r="50" spans="1:5" ht="20.25" x14ac:dyDescent="0.3">
      <c r="A50" s="609" t="s">
        <v>1056</v>
      </c>
      <c r="B50" s="261" t="s">
        <v>1059</v>
      </c>
      <c r="C50" s="261">
        <v>1065</v>
      </c>
      <c r="D50" s="623">
        <v>2130</v>
      </c>
      <c r="E50" s="547" t="s">
        <v>983</v>
      </c>
    </row>
    <row r="51" spans="1:5" ht="20.25" x14ac:dyDescent="0.3">
      <c r="A51" s="609" t="s">
        <v>1056</v>
      </c>
      <c r="B51" s="261" t="s">
        <v>1060</v>
      </c>
      <c r="C51" s="261">
        <v>1500</v>
      </c>
      <c r="D51" s="623">
        <v>3000</v>
      </c>
      <c r="E51" s="547" t="s">
        <v>983</v>
      </c>
    </row>
    <row r="52" spans="1:5" ht="20.25" x14ac:dyDescent="0.3">
      <c r="A52" s="609" t="s">
        <v>1057</v>
      </c>
      <c r="B52" s="261" t="s">
        <v>1060</v>
      </c>
      <c r="C52" s="261">
        <v>1880</v>
      </c>
      <c r="D52" s="623">
        <v>3760</v>
      </c>
      <c r="E52" s="547" t="s">
        <v>983</v>
      </c>
    </row>
    <row r="53" spans="1:5" ht="21" thickBot="1" x14ac:dyDescent="0.35">
      <c r="A53" s="609" t="s">
        <v>1057</v>
      </c>
      <c r="B53" s="262" t="s">
        <v>1062</v>
      </c>
      <c r="C53" s="262">
        <v>2495</v>
      </c>
      <c r="D53" s="626">
        <v>4990</v>
      </c>
      <c r="E53" s="550" t="s">
        <v>983</v>
      </c>
    </row>
    <row r="54" spans="1:5" ht="16.5" thickBot="1" x14ac:dyDescent="0.3">
      <c r="A54" s="429"/>
      <c r="B54" s="430"/>
      <c r="C54" s="430"/>
      <c r="D54" s="431"/>
      <c r="E54" s="432"/>
    </row>
    <row r="55" spans="1:5" ht="19.5" thickBot="1" x14ac:dyDescent="0.25">
      <c r="A55" s="456" t="s">
        <v>5</v>
      </c>
      <c r="B55" s="820" t="s">
        <v>973</v>
      </c>
      <c r="C55" s="821"/>
      <c r="D55" s="455" t="s">
        <v>974</v>
      </c>
      <c r="E55" s="457" t="s">
        <v>982</v>
      </c>
    </row>
    <row r="56" spans="1:5" ht="19.5" thickBot="1" x14ac:dyDescent="0.35">
      <c r="A56" s="822" t="s">
        <v>1063</v>
      </c>
      <c r="B56" s="823"/>
      <c r="C56" s="823"/>
      <c r="D56" s="823"/>
      <c r="E56" s="824"/>
    </row>
    <row r="57" spans="1:5" ht="21" thickBot="1" x14ac:dyDescent="0.35">
      <c r="A57" s="627" t="s">
        <v>1063</v>
      </c>
      <c r="B57" s="74" t="s">
        <v>1064</v>
      </c>
      <c r="C57" s="74" t="s">
        <v>1068</v>
      </c>
      <c r="D57" s="628">
        <v>143</v>
      </c>
      <c r="E57" s="547" t="s">
        <v>983</v>
      </c>
    </row>
    <row r="58" spans="1:5" ht="21" thickBot="1" x14ac:dyDescent="0.35">
      <c r="A58" s="627" t="s">
        <v>1063</v>
      </c>
      <c r="B58" s="261" t="s">
        <v>1065</v>
      </c>
      <c r="C58" s="261">
        <v>11.7</v>
      </c>
      <c r="D58" s="623">
        <v>430</v>
      </c>
      <c r="E58" s="547" t="s">
        <v>983</v>
      </c>
    </row>
    <row r="59" spans="1:5" ht="21" thickBot="1" x14ac:dyDescent="0.35">
      <c r="A59" s="627" t="s">
        <v>1063</v>
      </c>
      <c r="B59" s="261" t="s">
        <v>1066</v>
      </c>
      <c r="C59" s="261">
        <v>11.7</v>
      </c>
      <c r="D59" s="623">
        <v>590</v>
      </c>
      <c r="E59" s="547" t="s">
        <v>983</v>
      </c>
    </row>
    <row r="60" spans="1:5" ht="21" thickBot="1" x14ac:dyDescent="0.35">
      <c r="A60" s="627" t="s">
        <v>1063</v>
      </c>
      <c r="B60" s="262" t="s">
        <v>1067</v>
      </c>
      <c r="C60" s="262">
        <v>11.7</v>
      </c>
      <c r="D60" s="626">
        <v>790</v>
      </c>
      <c r="E60" s="550" t="s">
        <v>983</v>
      </c>
    </row>
    <row r="61" spans="1:5" ht="19.5" thickBot="1" x14ac:dyDescent="0.25">
      <c r="A61" s="456" t="s">
        <v>5</v>
      </c>
      <c r="B61" s="820" t="s">
        <v>973</v>
      </c>
      <c r="C61" s="821"/>
      <c r="D61" s="455" t="s">
        <v>974</v>
      </c>
      <c r="E61" s="457" t="s">
        <v>982</v>
      </c>
    </row>
    <row r="62" spans="1:5" ht="19.5" thickBot="1" x14ac:dyDescent="0.35">
      <c r="A62" s="822" t="s">
        <v>1080</v>
      </c>
      <c r="B62" s="823"/>
      <c r="C62" s="823"/>
      <c r="D62" s="823"/>
      <c r="E62" s="824"/>
    </row>
    <row r="63" spans="1:5" ht="21" thickBot="1" x14ac:dyDescent="0.35">
      <c r="A63" s="627" t="s">
        <v>1080</v>
      </c>
      <c r="B63" s="74" t="s">
        <v>1081</v>
      </c>
      <c r="C63" s="74" t="s">
        <v>1068</v>
      </c>
      <c r="D63" s="628">
        <v>143</v>
      </c>
      <c r="E63" s="547" t="s">
        <v>983</v>
      </c>
    </row>
    <row r="64" spans="1:5" ht="21" thickBot="1" x14ac:dyDescent="0.35">
      <c r="A64" s="627" t="s">
        <v>1080</v>
      </c>
      <c r="B64" s="261" t="s">
        <v>1082</v>
      </c>
      <c r="C64" s="261">
        <v>11.7</v>
      </c>
      <c r="D64" s="623">
        <v>430</v>
      </c>
      <c r="E64" s="547" t="s">
        <v>983</v>
      </c>
    </row>
    <row r="65" spans="1:5" ht="21" thickBot="1" x14ac:dyDescent="0.35">
      <c r="A65" s="627" t="s">
        <v>1080</v>
      </c>
      <c r="B65" s="261" t="s">
        <v>1083</v>
      </c>
      <c r="C65" s="261">
        <v>11.7</v>
      </c>
      <c r="D65" s="623">
        <v>590</v>
      </c>
      <c r="E65" s="547" t="s">
        <v>983</v>
      </c>
    </row>
    <row r="66" spans="1:5" ht="21" thickBot="1" x14ac:dyDescent="0.35">
      <c r="A66" s="627" t="s">
        <v>1080</v>
      </c>
      <c r="B66" s="262" t="s">
        <v>1084</v>
      </c>
      <c r="C66" s="262">
        <v>11.7</v>
      </c>
      <c r="D66" s="626">
        <v>790</v>
      </c>
      <c r="E66" s="550" t="s">
        <v>983</v>
      </c>
    </row>
    <row r="67" spans="1:5" x14ac:dyDescent="0.35">
      <c r="B67" s="2"/>
    </row>
  </sheetData>
  <mergeCells count="33">
    <mergeCell ref="C17:C18"/>
    <mergeCell ref="B15:B16"/>
    <mergeCell ref="B17:B18"/>
    <mergeCell ref="B11:B12"/>
    <mergeCell ref="B13:B14"/>
    <mergeCell ref="C11:C12"/>
    <mergeCell ref="C13:C14"/>
    <mergeCell ref="C15:C16"/>
    <mergeCell ref="B22:B23"/>
    <mergeCell ref="C22:C23"/>
    <mergeCell ref="A26:E26"/>
    <mergeCell ref="A19:E19"/>
    <mergeCell ref="B20:B21"/>
    <mergeCell ref="C20:C21"/>
    <mergeCell ref="B61:C61"/>
    <mergeCell ref="A62:E62"/>
    <mergeCell ref="B24:B25"/>
    <mergeCell ref="C24:C25"/>
    <mergeCell ref="A30:E30"/>
    <mergeCell ref="A31:A33"/>
    <mergeCell ref="A34:E34"/>
    <mergeCell ref="B55:C55"/>
    <mergeCell ref="A56:E56"/>
    <mergeCell ref="A1:E1"/>
    <mergeCell ref="A2:E2"/>
    <mergeCell ref="A3:E3"/>
    <mergeCell ref="A4:E4"/>
    <mergeCell ref="A5:E5"/>
    <mergeCell ref="A7:E7"/>
    <mergeCell ref="A8:E8"/>
    <mergeCell ref="B9:C9"/>
    <mergeCell ref="A10:E10"/>
    <mergeCell ref="A6:E6"/>
  </mergeCells>
  <pageMargins left="0.24" right="0.21" top="0.44" bottom="0.37" header="0.19" footer="0.21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J46"/>
  <sheetViews>
    <sheetView view="pageBreakPreview" topLeftCell="C1" zoomScale="55" zoomScaleSheetLayoutView="55" workbookViewId="0">
      <selection activeCell="C14" sqref="C14:I14"/>
    </sheetView>
  </sheetViews>
  <sheetFormatPr defaultColWidth="9.140625" defaultRowHeight="20.25" x14ac:dyDescent="0.3"/>
  <cols>
    <col min="1" max="1" width="25.28515625" style="6" customWidth="1"/>
    <col min="2" max="2" width="26.42578125" style="6" customWidth="1"/>
    <col min="3" max="3" width="83.140625" style="6" customWidth="1"/>
    <col min="4" max="4" width="23.140625" style="7" customWidth="1"/>
    <col min="5" max="5" width="21.28515625" style="6" customWidth="1"/>
    <col min="6" max="6" width="24" style="6" customWidth="1"/>
    <col min="7" max="7" width="19.28515625" style="6" customWidth="1"/>
    <col min="8" max="8" width="19.140625" style="6" customWidth="1"/>
    <col min="9" max="9" width="27.28515625" style="6" customWidth="1"/>
    <col min="10" max="10" width="7.42578125" style="6" customWidth="1"/>
    <col min="11" max="16384" width="9.140625" style="6"/>
  </cols>
  <sheetData>
    <row r="3" spans="3:9" ht="30.75" x14ac:dyDescent="0.45">
      <c r="C3" s="29"/>
      <c r="D3" s="164"/>
      <c r="E3" s="29"/>
      <c r="F3" s="29"/>
      <c r="G3" s="29"/>
      <c r="H3" s="29"/>
      <c r="I3" s="29"/>
    </row>
    <row r="4" spans="3:9" ht="28.15" customHeight="1" x14ac:dyDescent="0.45">
      <c r="C4" s="748" t="s">
        <v>101</v>
      </c>
      <c r="D4" s="748"/>
      <c r="E4" s="748"/>
      <c r="F4" s="748"/>
      <c r="G4" s="748"/>
      <c r="H4" s="748"/>
      <c r="I4" s="748"/>
    </row>
    <row r="5" spans="3:9" ht="28.15" customHeight="1" x14ac:dyDescent="0.3">
      <c r="C5" s="749" t="s">
        <v>1</v>
      </c>
      <c r="D5" s="749"/>
      <c r="E5" s="749"/>
      <c r="F5" s="749"/>
      <c r="G5" s="749"/>
      <c r="H5" s="749"/>
      <c r="I5" s="749"/>
    </row>
    <row r="6" spans="3:9" ht="28.15" customHeight="1" x14ac:dyDescent="0.45">
      <c r="C6" s="748" t="s">
        <v>102</v>
      </c>
      <c r="D6" s="748"/>
      <c r="E6" s="748"/>
      <c r="F6" s="748"/>
      <c r="G6" s="748"/>
      <c r="H6" s="748"/>
      <c r="I6" s="748"/>
    </row>
    <row r="7" spans="3:9" ht="28.15" customHeight="1" x14ac:dyDescent="0.45">
      <c r="C7" s="748" t="s">
        <v>103</v>
      </c>
      <c r="D7" s="748"/>
      <c r="E7" s="748"/>
      <c r="F7" s="748"/>
      <c r="G7" s="748"/>
      <c r="H7" s="748"/>
      <c r="I7" s="748"/>
    </row>
    <row r="8" spans="3:9" ht="28.15" customHeight="1" x14ac:dyDescent="0.45">
      <c r="C8" s="748" t="s">
        <v>1105</v>
      </c>
      <c r="D8" s="748"/>
      <c r="E8" s="748"/>
      <c r="F8" s="748"/>
      <c r="G8" s="748"/>
      <c r="H8" s="748"/>
      <c r="I8" s="748"/>
    </row>
    <row r="9" spans="3:9" ht="28.15" customHeight="1" x14ac:dyDescent="0.45">
      <c r="C9" s="748" t="s">
        <v>37</v>
      </c>
      <c r="D9" s="748"/>
      <c r="E9" s="748"/>
      <c r="F9" s="748"/>
      <c r="G9" s="748"/>
      <c r="H9" s="748"/>
      <c r="I9" s="748"/>
    </row>
    <row r="10" spans="3:9" ht="18.75" customHeight="1" x14ac:dyDescent="0.3">
      <c r="G10" s="10"/>
      <c r="H10" s="14"/>
    </row>
    <row r="11" spans="3:9" ht="23.45" customHeight="1" x14ac:dyDescent="0.4">
      <c r="C11" s="248"/>
      <c r="D11" s="248"/>
      <c r="E11" s="248"/>
      <c r="F11" s="248"/>
      <c r="G11" s="248"/>
      <c r="H11" s="248"/>
      <c r="I11" s="248"/>
    </row>
    <row r="12" spans="3:9" ht="40.5" customHeight="1" x14ac:dyDescent="0.3">
      <c r="C12" s="739" t="s">
        <v>129</v>
      </c>
      <c r="D12" s="739"/>
      <c r="E12" s="739"/>
      <c r="F12" s="739"/>
      <c r="G12" s="739"/>
      <c r="H12" s="739"/>
      <c r="I12" s="739"/>
    </row>
    <row r="13" spans="3:9" ht="25.15" customHeight="1" x14ac:dyDescent="0.3">
      <c r="C13" s="750" t="s">
        <v>1095</v>
      </c>
      <c r="D13" s="750"/>
      <c r="E13" s="750"/>
      <c r="F13" s="750"/>
      <c r="G13" s="750"/>
      <c r="H13" s="750"/>
      <c r="I13" s="750"/>
    </row>
    <row r="14" spans="3:9" ht="25.15" customHeight="1" thickBot="1" x14ac:dyDescent="0.45">
      <c r="C14" s="747" t="s">
        <v>1151</v>
      </c>
      <c r="D14" s="747"/>
      <c r="E14" s="747"/>
      <c r="F14" s="747"/>
      <c r="G14" s="747"/>
      <c r="H14" s="747"/>
      <c r="I14" s="747"/>
    </row>
    <row r="15" spans="3:9" ht="85.5" customHeight="1" thickBot="1" x14ac:dyDescent="0.35">
      <c r="C15" s="481" t="s">
        <v>130</v>
      </c>
      <c r="D15" s="482" t="s">
        <v>66</v>
      </c>
      <c r="E15" s="483" t="s">
        <v>105</v>
      </c>
      <c r="F15" s="484" t="s">
        <v>106</v>
      </c>
      <c r="G15" s="483" t="s">
        <v>107</v>
      </c>
      <c r="H15" s="484" t="s">
        <v>70</v>
      </c>
      <c r="I15" s="483" t="s">
        <v>71</v>
      </c>
    </row>
    <row r="16" spans="3:9" ht="45" customHeight="1" x14ac:dyDescent="0.3">
      <c r="C16" s="553" t="s">
        <v>682</v>
      </c>
      <c r="D16" s="553"/>
      <c r="E16" s="553" t="s">
        <v>124</v>
      </c>
      <c r="F16" s="554" t="s">
        <v>131</v>
      </c>
      <c r="G16" s="150">
        <f>0.016*0.09*6*I16</f>
        <v>259.19999999999993</v>
      </c>
      <c r="H16" s="150">
        <f>G16*1.85</f>
        <v>479.51999999999992</v>
      </c>
      <c r="I16" s="150">
        <v>30000</v>
      </c>
    </row>
    <row r="17" spans="2:10" s="374" customFormat="1" ht="45" customHeight="1" x14ac:dyDescent="0.5">
      <c r="C17" s="394" t="s">
        <v>34</v>
      </c>
      <c r="D17" s="375"/>
      <c r="E17" s="394" t="s">
        <v>124</v>
      </c>
      <c r="F17" s="380" t="s">
        <v>131</v>
      </c>
      <c r="G17" s="382">
        <f>0.016*0.09*6*I17</f>
        <v>380.15999999999991</v>
      </c>
      <c r="H17" s="382">
        <f>G17*1.85</f>
        <v>703.29599999999982</v>
      </c>
      <c r="I17" s="382">
        <v>44000</v>
      </c>
    </row>
    <row r="18" spans="2:10" s="50" customFormat="1" ht="45" customHeight="1" x14ac:dyDescent="0.5">
      <c r="C18" s="57" t="s">
        <v>1085</v>
      </c>
      <c r="D18" s="120"/>
      <c r="E18" s="120" t="s">
        <v>1088</v>
      </c>
      <c r="F18" s="46" t="s">
        <v>1087</v>
      </c>
      <c r="G18" s="48">
        <f>0.02*0.096*6*I18</f>
        <v>345.6</v>
      </c>
      <c r="H18" s="48">
        <f>G18*1.73</f>
        <v>597.88800000000003</v>
      </c>
      <c r="I18" s="48">
        <v>30000</v>
      </c>
    </row>
    <row r="19" spans="2:10" s="50" customFormat="1" ht="45" customHeight="1" x14ac:dyDescent="0.5">
      <c r="C19" s="57" t="s">
        <v>1086</v>
      </c>
      <c r="D19" s="120"/>
      <c r="E19" s="120" t="s">
        <v>1088</v>
      </c>
      <c r="F19" s="46" t="s">
        <v>1087</v>
      </c>
      <c r="G19" s="48">
        <f>0.02*0.096*6*I19</f>
        <v>506.88000000000005</v>
      </c>
      <c r="H19" s="48">
        <f>G19*1.73</f>
        <v>876.90240000000006</v>
      </c>
      <c r="I19" s="48">
        <v>44000</v>
      </c>
    </row>
    <row r="20" spans="2:10" s="144" customFormat="1" ht="45" customHeight="1" x14ac:dyDescent="0.5">
      <c r="B20" s="50"/>
      <c r="C20" s="57" t="s">
        <v>703</v>
      </c>
      <c r="D20" s="120"/>
      <c r="E20" s="120" t="s">
        <v>704</v>
      </c>
      <c r="F20" s="46" t="s">
        <v>133</v>
      </c>
      <c r="G20" s="48">
        <f>0.02*0.145*6*I20</f>
        <v>800.4</v>
      </c>
      <c r="H20" s="48">
        <f>G20*1.15</f>
        <v>920.45999999999992</v>
      </c>
      <c r="I20" s="48">
        <v>46000</v>
      </c>
      <c r="J20" s="50"/>
    </row>
    <row r="21" spans="2:10" s="144" customFormat="1" ht="45" customHeight="1" x14ac:dyDescent="0.5">
      <c r="C21" s="57" t="s">
        <v>32</v>
      </c>
      <c r="D21" s="120"/>
      <c r="E21" s="120" t="s">
        <v>123</v>
      </c>
      <c r="F21" s="46" t="s">
        <v>119</v>
      </c>
      <c r="G21" s="48">
        <f>0.028*0.14*6*I21</f>
        <v>705.60000000000014</v>
      </c>
      <c r="H21" s="48">
        <f>G21*1.19</f>
        <v>839.6640000000001</v>
      </c>
      <c r="I21" s="48">
        <v>30000</v>
      </c>
    </row>
    <row r="22" spans="2:10" s="50" customFormat="1" ht="45" customHeight="1" x14ac:dyDescent="0.5">
      <c r="B22" s="144"/>
      <c r="C22" s="392" t="s">
        <v>122</v>
      </c>
      <c r="D22" s="375"/>
      <c r="E22" s="394" t="s">
        <v>123</v>
      </c>
      <c r="F22" s="380" t="s">
        <v>119</v>
      </c>
      <c r="G22" s="382">
        <f>0.028*0.14*6*I22</f>
        <v>987.84000000000026</v>
      </c>
      <c r="H22" s="382">
        <f>G22*1.19</f>
        <v>1175.5296000000003</v>
      </c>
      <c r="I22" s="382">
        <v>42000</v>
      </c>
      <c r="J22" s="144"/>
    </row>
    <row r="23" spans="2:10" s="144" customFormat="1" ht="45" customHeight="1" x14ac:dyDescent="0.5">
      <c r="B23" s="50"/>
      <c r="C23" s="392" t="s">
        <v>134</v>
      </c>
      <c r="D23" s="377"/>
      <c r="E23" s="394" t="s">
        <v>124</v>
      </c>
      <c r="F23" s="386" t="s">
        <v>135</v>
      </c>
      <c r="G23" s="396">
        <f>0.035*0.09*6*I23</f>
        <v>756</v>
      </c>
      <c r="H23" s="382">
        <f>G23*1.85</f>
        <v>1398.6000000000001</v>
      </c>
      <c r="I23" s="382">
        <v>40000</v>
      </c>
      <c r="J23" s="50"/>
    </row>
    <row r="24" spans="2:10" s="50" customFormat="1" ht="45" customHeight="1" x14ac:dyDescent="0.5">
      <c r="C24" s="392" t="s">
        <v>126</v>
      </c>
      <c r="D24" s="377"/>
      <c r="E24" s="394" t="s">
        <v>123</v>
      </c>
      <c r="F24" s="386" t="s">
        <v>136</v>
      </c>
      <c r="G24" s="396">
        <f>0.038*0.14*6*I24</f>
        <v>1276.8000000000002</v>
      </c>
      <c r="H24" s="382">
        <f>G24*1.19</f>
        <v>1519.3920000000001</v>
      </c>
      <c r="I24" s="382">
        <v>40000</v>
      </c>
    </row>
    <row r="25" spans="2:10" s="50" customFormat="1" ht="45" customHeight="1" x14ac:dyDescent="0.5">
      <c r="C25" s="392" t="s">
        <v>27</v>
      </c>
      <c r="D25" s="377"/>
      <c r="E25" s="392" t="s">
        <v>137</v>
      </c>
      <c r="F25" s="392" t="s">
        <v>112</v>
      </c>
      <c r="G25" s="396">
        <f>0.038*0.19*6*I25</f>
        <v>1732.8</v>
      </c>
      <c r="H25" s="382">
        <f>G25*0.88</f>
        <v>1524.864</v>
      </c>
      <c r="I25" s="382">
        <v>40000</v>
      </c>
    </row>
    <row r="26" spans="2:10" s="50" customFormat="1" ht="45" customHeight="1" x14ac:dyDescent="0.5">
      <c r="C26" s="392" t="s">
        <v>138</v>
      </c>
      <c r="D26" s="377"/>
      <c r="E26" s="392" t="s">
        <v>124</v>
      </c>
      <c r="F26" s="386" t="s">
        <v>139</v>
      </c>
      <c r="G26" s="396">
        <f>0.045*0.09*6*I26</f>
        <v>972</v>
      </c>
      <c r="H26" s="382">
        <f>G26*1.85</f>
        <v>1798.2</v>
      </c>
      <c r="I26" s="382">
        <v>40000</v>
      </c>
    </row>
    <row r="27" spans="2:10" s="144" customFormat="1" ht="45" customHeight="1" x14ac:dyDescent="0.5">
      <c r="C27" s="392" t="s">
        <v>140</v>
      </c>
      <c r="D27" s="377"/>
      <c r="E27" s="392" t="s">
        <v>137</v>
      </c>
      <c r="F27" s="386" t="s">
        <v>141</v>
      </c>
      <c r="G27" s="396">
        <f>0.048*0.19*6*I27</f>
        <v>2188.7999999999997</v>
      </c>
      <c r="H27" s="382">
        <f>G27*0.88</f>
        <v>1926.1439999999998</v>
      </c>
      <c r="I27" s="382">
        <v>40000</v>
      </c>
    </row>
    <row r="28" spans="2:10" s="144" customFormat="1" ht="45" customHeight="1" x14ac:dyDescent="0.5">
      <c r="C28" s="392" t="s">
        <v>1121</v>
      </c>
      <c r="D28" s="377"/>
      <c r="E28" s="392" t="s">
        <v>123</v>
      </c>
      <c r="F28" s="386" t="s">
        <v>143</v>
      </c>
      <c r="G28" s="396">
        <f>0.05*0.14*6*I28</f>
        <v>1260.0000000000002</v>
      </c>
      <c r="H28" s="382">
        <f>G28*1.19</f>
        <v>1499.4</v>
      </c>
      <c r="I28" s="382">
        <v>30000</v>
      </c>
    </row>
    <row r="29" spans="2:10" s="50" customFormat="1" ht="45" customHeight="1" x14ac:dyDescent="0.5">
      <c r="C29" s="392" t="s">
        <v>142</v>
      </c>
      <c r="D29" s="377"/>
      <c r="E29" s="392" t="s">
        <v>123</v>
      </c>
      <c r="F29" s="386" t="s">
        <v>143</v>
      </c>
      <c r="G29" s="396">
        <f>0.05*0.14*6*I29</f>
        <v>1680.0000000000005</v>
      </c>
      <c r="H29" s="382">
        <f>G29*1.19</f>
        <v>1999.2000000000005</v>
      </c>
      <c r="I29" s="382">
        <v>40000</v>
      </c>
      <c r="J29" s="144"/>
    </row>
    <row r="30" spans="2:10" s="50" customFormat="1" ht="45" customHeight="1" x14ac:dyDescent="0.5">
      <c r="C30" s="392" t="s">
        <v>144</v>
      </c>
      <c r="D30" s="377"/>
      <c r="E30" s="392" t="s">
        <v>123</v>
      </c>
      <c r="F30" s="386" t="s">
        <v>119</v>
      </c>
      <c r="G30" s="396">
        <f>0.028*0.14*6*I30</f>
        <v>987.84000000000026</v>
      </c>
      <c r="H30" s="382">
        <f>G30*1.19</f>
        <v>1175.5296000000003</v>
      </c>
      <c r="I30" s="382">
        <v>42000</v>
      </c>
    </row>
    <row r="31" spans="2:10" s="50" customFormat="1" ht="45" customHeight="1" thickBot="1" x14ac:dyDescent="0.55000000000000004">
      <c r="C31" s="555" t="s">
        <v>145</v>
      </c>
      <c r="D31" s="556"/>
      <c r="E31" s="555" t="s">
        <v>123</v>
      </c>
      <c r="F31" s="388" t="s">
        <v>119</v>
      </c>
      <c r="G31" s="391">
        <f>0.038*0.14*6*I31</f>
        <v>1276.8000000000002</v>
      </c>
      <c r="H31" s="390">
        <f>G31*1.19</f>
        <v>1519.3920000000001</v>
      </c>
      <c r="I31" s="390">
        <v>40000</v>
      </c>
    </row>
    <row r="32" spans="2:10" ht="45" customHeight="1" thickBot="1" x14ac:dyDescent="0.35">
      <c r="C32" s="14"/>
      <c r="D32" s="14"/>
      <c r="E32" s="14"/>
      <c r="F32" s="14"/>
      <c r="G32" s="14"/>
      <c r="H32" s="14"/>
      <c r="I32" s="14"/>
    </row>
    <row r="33" spans="1:10" s="50" customFormat="1" ht="86.25" customHeight="1" thickBot="1" x14ac:dyDescent="0.55000000000000004">
      <c r="B33" s="6"/>
      <c r="C33" s="483" t="s">
        <v>701</v>
      </c>
      <c r="D33" s="482" t="s">
        <v>66</v>
      </c>
      <c r="E33" s="483" t="s">
        <v>105</v>
      </c>
      <c r="F33" s="484" t="s">
        <v>106</v>
      </c>
      <c r="G33" s="483" t="s">
        <v>107</v>
      </c>
      <c r="H33" s="484" t="s">
        <v>70</v>
      </c>
      <c r="I33" s="483" t="s">
        <v>71</v>
      </c>
      <c r="J33" s="6"/>
    </row>
    <row r="34" spans="1:10" s="50" customFormat="1" ht="45" customHeight="1" x14ac:dyDescent="0.5">
      <c r="C34" s="386" t="s">
        <v>725</v>
      </c>
      <c r="D34" s="376"/>
      <c r="E34" s="393" t="s">
        <v>713</v>
      </c>
      <c r="F34" s="393" t="s">
        <v>697</v>
      </c>
      <c r="G34" s="400">
        <f>0.02*0.096*3*I34</f>
        <v>172.8</v>
      </c>
      <c r="H34" s="400">
        <f>G34*3.47</f>
        <v>599.6160000000001</v>
      </c>
      <c r="I34" s="401">
        <v>30000</v>
      </c>
    </row>
    <row r="35" spans="1:10" s="50" customFormat="1" ht="45" customHeight="1" x14ac:dyDescent="0.5">
      <c r="C35" s="251" t="s">
        <v>716</v>
      </c>
      <c r="D35" s="288"/>
      <c r="E35" s="288" t="s">
        <v>713</v>
      </c>
      <c r="F35" s="288" t="s">
        <v>697</v>
      </c>
      <c r="G35" s="252">
        <f>0.02*0.096*3*I35</f>
        <v>207.36</v>
      </c>
      <c r="H35" s="252">
        <f>G35*3.47</f>
        <v>719.53920000000005</v>
      </c>
      <c r="I35" s="296">
        <v>36000</v>
      </c>
    </row>
    <row r="36" spans="1:10" s="50" customFormat="1" ht="45" customHeight="1" x14ac:dyDescent="0.5">
      <c r="C36" s="51" t="s">
        <v>1017</v>
      </c>
      <c r="D36" s="122"/>
      <c r="E36" s="122" t="s">
        <v>1018</v>
      </c>
      <c r="F36" s="122" t="s">
        <v>1019</v>
      </c>
      <c r="G36" s="124">
        <f>0.02*0.096*2*I36</f>
        <v>168.96</v>
      </c>
      <c r="H36" s="124">
        <f>G36*5.2</f>
        <v>878.5920000000001</v>
      </c>
      <c r="I36" s="294">
        <v>44000</v>
      </c>
    </row>
    <row r="37" spans="1:10" s="50" customFormat="1" ht="45" customHeight="1" x14ac:dyDescent="0.5">
      <c r="C37" s="51" t="s">
        <v>716</v>
      </c>
      <c r="D37" s="122"/>
      <c r="E37" s="122" t="s">
        <v>713</v>
      </c>
      <c r="F37" s="122" t="s">
        <v>697</v>
      </c>
      <c r="G37" s="124">
        <f>0.02*0.096*3*I37</f>
        <v>253.44000000000003</v>
      </c>
      <c r="H37" s="124">
        <f>G37*3.47</f>
        <v>879.43680000000018</v>
      </c>
      <c r="I37" s="294">
        <v>44000</v>
      </c>
    </row>
    <row r="38" spans="1:10" s="50" customFormat="1" ht="45" customHeight="1" x14ac:dyDescent="0.5">
      <c r="C38" s="46" t="s">
        <v>1089</v>
      </c>
      <c r="D38" s="122"/>
      <c r="E38" s="121" t="s">
        <v>700</v>
      </c>
      <c r="F38" s="121" t="s">
        <v>1091</v>
      </c>
      <c r="G38" s="124">
        <f>0.02*0.096*4*I38</f>
        <v>337.92</v>
      </c>
      <c r="H38" s="124">
        <f>G38*2.6</f>
        <v>878.5920000000001</v>
      </c>
      <c r="I38" s="124">
        <v>44000</v>
      </c>
    </row>
    <row r="39" spans="1:10" s="50" customFormat="1" ht="45" customHeight="1" x14ac:dyDescent="0.5">
      <c r="A39" s="6"/>
      <c r="C39" s="46" t="s">
        <v>1090</v>
      </c>
      <c r="D39" s="122"/>
      <c r="E39" s="121" t="s">
        <v>1093</v>
      </c>
      <c r="F39" s="121" t="s">
        <v>1092</v>
      </c>
      <c r="G39" s="124">
        <f>0.02*0.096*5*I39</f>
        <v>422.40000000000003</v>
      </c>
      <c r="H39" s="124">
        <f>G39*2.08</f>
        <v>878.5920000000001</v>
      </c>
      <c r="I39" s="124">
        <v>44000</v>
      </c>
    </row>
    <row r="40" spans="1:10" ht="45" customHeight="1" x14ac:dyDescent="0.5">
      <c r="B40" s="50"/>
      <c r="C40" s="51" t="s">
        <v>724</v>
      </c>
      <c r="D40" s="121"/>
      <c r="E40" s="121" t="s">
        <v>708</v>
      </c>
      <c r="F40" s="121" t="s">
        <v>133</v>
      </c>
      <c r="G40" s="124">
        <f>0.02*0.145*3*I40</f>
        <v>200.1</v>
      </c>
      <c r="H40" s="124">
        <f>G40*2.3</f>
        <v>460.22999999999996</v>
      </c>
      <c r="I40" s="124">
        <v>23000</v>
      </c>
      <c r="J40" s="50"/>
    </row>
    <row r="41" spans="1:10" ht="45" customHeight="1" x14ac:dyDescent="0.5">
      <c r="B41" s="50"/>
      <c r="C41" s="51" t="s">
        <v>705</v>
      </c>
      <c r="D41" s="121"/>
      <c r="E41" s="121" t="s">
        <v>708</v>
      </c>
      <c r="F41" s="121" t="s">
        <v>133</v>
      </c>
      <c r="G41" s="124">
        <f>0.02*0.145*3*I41</f>
        <v>400.2</v>
      </c>
      <c r="H41" s="124">
        <f>G41*2.3</f>
        <v>920.45999999999992</v>
      </c>
      <c r="I41" s="124">
        <v>46000</v>
      </c>
      <c r="J41" s="50"/>
    </row>
    <row r="42" spans="1:10" ht="45" customHeight="1" x14ac:dyDescent="0.5">
      <c r="B42" s="50"/>
      <c r="C42" s="51" t="s">
        <v>706</v>
      </c>
      <c r="D42" s="121"/>
      <c r="E42" s="121" t="s">
        <v>709</v>
      </c>
      <c r="F42" s="121" t="s">
        <v>133</v>
      </c>
      <c r="G42" s="124">
        <f>0.02*0.145*4*I42</f>
        <v>533.59999999999991</v>
      </c>
      <c r="H42" s="124">
        <f>G42*1.72</f>
        <v>917.7919999999998</v>
      </c>
      <c r="I42" s="124">
        <v>46000</v>
      </c>
      <c r="J42" s="50"/>
    </row>
    <row r="43" spans="1:10" ht="45" customHeight="1" x14ac:dyDescent="0.5">
      <c r="B43" s="50"/>
      <c r="C43" s="51" t="s">
        <v>707</v>
      </c>
      <c r="D43" s="121"/>
      <c r="E43" s="121" t="s">
        <v>710</v>
      </c>
      <c r="F43" s="121" t="s">
        <v>133</v>
      </c>
      <c r="G43" s="124">
        <f>0.02*0.145*5*I43</f>
        <v>667</v>
      </c>
      <c r="H43" s="124">
        <f>G43*1.38</f>
        <v>920.45999999999992</v>
      </c>
      <c r="I43" s="124">
        <v>46000</v>
      </c>
      <c r="J43" s="50"/>
    </row>
    <row r="44" spans="1:10" ht="45" customHeight="1" x14ac:dyDescent="0.5">
      <c r="B44" s="50"/>
      <c r="C44" s="135" t="s">
        <v>146</v>
      </c>
      <c r="D44" s="295"/>
      <c r="E44" s="295" t="s">
        <v>147</v>
      </c>
      <c r="F44" s="295" t="s">
        <v>148</v>
      </c>
      <c r="G44" s="296">
        <f>0.038*0.14*3*I44</f>
        <v>271.32000000000005</v>
      </c>
      <c r="H44" s="252">
        <f>G44*2.38</f>
        <v>645.74160000000006</v>
      </c>
      <c r="I44" s="252">
        <v>17000</v>
      </c>
      <c r="J44" s="50"/>
    </row>
    <row r="45" spans="1:10" ht="45" customHeight="1" thickBot="1" x14ac:dyDescent="0.55000000000000004">
      <c r="B45" s="50"/>
      <c r="C45" s="251" t="s">
        <v>149</v>
      </c>
      <c r="D45" s="288"/>
      <c r="E45" s="288" t="s">
        <v>132</v>
      </c>
      <c r="F45" s="288" t="s">
        <v>125</v>
      </c>
      <c r="G45" s="296">
        <f>0.038*0.19*3*I45</f>
        <v>368.21999999999997</v>
      </c>
      <c r="H45" s="296">
        <f>G45*1.75</f>
        <v>644.38499999999999</v>
      </c>
      <c r="I45" s="296">
        <v>17000</v>
      </c>
      <c r="J45" s="50"/>
    </row>
    <row r="46" spans="1:10" ht="37.5" thickBot="1" x14ac:dyDescent="0.55000000000000004">
      <c r="C46" s="744" t="s">
        <v>655</v>
      </c>
      <c r="D46" s="745"/>
      <c r="E46" s="745"/>
      <c r="F46" s="745"/>
      <c r="G46" s="745"/>
      <c r="H46" s="745"/>
      <c r="I46" s="746"/>
      <c r="J46" s="50"/>
    </row>
  </sheetData>
  <mergeCells count="10">
    <mergeCell ref="C46:I46"/>
    <mergeCell ref="C12:I12"/>
    <mergeCell ref="C14:I14"/>
    <mergeCell ref="C9:I9"/>
    <mergeCell ref="C4:I4"/>
    <mergeCell ref="C5:I5"/>
    <mergeCell ref="C6:I6"/>
    <mergeCell ref="C7:I7"/>
    <mergeCell ref="C8:I8"/>
    <mergeCell ref="C13:I13"/>
  </mergeCells>
  <phoneticPr fontId="3" type="noConversion"/>
  <pageMargins left="0.157" right="0.157" top="0.157" bottom="0.157" header="0.157" footer="0.157"/>
  <pageSetup paperSize="9" scale="4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D4:J64"/>
  <sheetViews>
    <sheetView view="pageBreakPreview" zoomScale="40" zoomScaleSheetLayoutView="40" workbookViewId="0">
      <selection activeCell="D13" sqref="D13:J13"/>
    </sheetView>
  </sheetViews>
  <sheetFormatPr defaultColWidth="9.140625" defaultRowHeight="20.25" x14ac:dyDescent="0.3"/>
  <cols>
    <col min="1" max="1" width="9.140625" style="6"/>
    <col min="2" max="2" width="5" style="6" customWidth="1"/>
    <col min="3" max="3" width="11.140625" style="6" customWidth="1"/>
    <col min="4" max="4" width="104.85546875" style="6" customWidth="1"/>
    <col min="5" max="5" width="24.28515625" style="7" customWidth="1"/>
    <col min="6" max="6" width="25.5703125" style="6" customWidth="1"/>
    <col min="7" max="7" width="35.42578125" style="6" customWidth="1"/>
    <col min="8" max="8" width="23.42578125" style="6" customWidth="1"/>
    <col min="9" max="9" width="18.42578125" style="6" customWidth="1"/>
    <col min="10" max="10" width="28" style="6" customWidth="1"/>
    <col min="11" max="16384" width="9.140625" style="6"/>
  </cols>
  <sheetData>
    <row r="4" spans="4:10" ht="37.9" customHeight="1" x14ac:dyDescent="0.65">
      <c r="D4" s="754" t="s">
        <v>0</v>
      </c>
      <c r="E4" s="754"/>
      <c r="F4" s="754"/>
      <c r="G4" s="754"/>
      <c r="H4" s="754"/>
      <c r="I4" s="754"/>
      <c r="J4" s="754"/>
    </row>
    <row r="5" spans="4:10" ht="37.9" customHeight="1" x14ac:dyDescent="0.3">
      <c r="D5" s="739" t="s">
        <v>1</v>
      </c>
      <c r="E5" s="739"/>
      <c r="F5" s="739"/>
      <c r="G5" s="739"/>
      <c r="H5" s="739"/>
      <c r="I5" s="739"/>
      <c r="J5" s="739"/>
    </row>
    <row r="6" spans="4:10" ht="37.9" customHeight="1" x14ac:dyDescent="0.65">
      <c r="D6" s="754" t="s">
        <v>2</v>
      </c>
      <c r="E6" s="754"/>
      <c r="F6" s="754"/>
      <c r="G6" s="754"/>
      <c r="H6" s="754"/>
      <c r="I6" s="754"/>
      <c r="J6" s="754"/>
    </row>
    <row r="7" spans="4:10" ht="37.9" customHeight="1" x14ac:dyDescent="0.65">
      <c r="D7" s="754" t="s">
        <v>64</v>
      </c>
      <c r="E7" s="754"/>
      <c r="F7" s="754"/>
      <c r="G7" s="754"/>
      <c r="H7" s="754"/>
      <c r="I7" s="754"/>
      <c r="J7" s="754"/>
    </row>
    <row r="8" spans="4:10" ht="37.9" customHeight="1" x14ac:dyDescent="0.65">
      <c r="D8" s="754" t="s">
        <v>1105</v>
      </c>
      <c r="E8" s="754"/>
      <c r="F8" s="754"/>
      <c r="G8" s="754"/>
      <c r="H8" s="754"/>
      <c r="I8" s="754"/>
      <c r="J8" s="754"/>
    </row>
    <row r="9" spans="4:10" ht="37.9" customHeight="1" x14ac:dyDescent="0.65">
      <c r="D9" s="754" t="s">
        <v>37</v>
      </c>
      <c r="E9" s="754"/>
      <c r="F9" s="754"/>
      <c r="G9" s="754"/>
      <c r="H9" s="754"/>
      <c r="I9" s="754"/>
      <c r="J9" s="754"/>
    </row>
    <row r="10" spans="4:10" ht="9" customHeight="1" x14ac:dyDescent="0.3">
      <c r="E10" s="166"/>
      <c r="H10" s="10"/>
    </row>
    <row r="11" spans="4:10" ht="41.25" customHeight="1" x14ac:dyDescent="0.3">
      <c r="D11" s="755" t="s">
        <v>28</v>
      </c>
      <c r="E11" s="755"/>
      <c r="F11" s="755"/>
      <c r="G11" s="755"/>
      <c r="H11" s="755"/>
      <c r="I11" s="755"/>
      <c r="J11" s="755"/>
    </row>
    <row r="12" spans="4:10" ht="41.25" customHeight="1" x14ac:dyDescent="0.3">
      <c r="D12" s="750" t="s">
        <v>1095</v>
      </c>
      <c r="E12" s="750"/>
      <c r="F12" s="750"/>
      <c r="G12" s="750"/>
      <c r="H12" s="750"/>
      <c r="I12" s="750"/>
      <c r="J12" s="750"/>
    </row>
    <row r="13" spans="4:10" ht="41.45" customHeight="1" thickBot="1" x14ac:dyDescent="0.45">
      <c r="D13" s="756" t="s">
        <v>1151</v>
      </c>
      <c r="E13" s="756"/>
      <c r="F13" s="756"/>
      <c r="G13" s="756"/>
      <c r="H13" s="756"/>
      <c r="I13" s="756"/>
      <c r="J13" s="756"/>
    </row>
    <row r="14" spans="4:10" ht="138" customHeight="1" thickBot="1" x14ac:dyDescent="0.35">
      <c r="D14" s="481" t="s">
        <v>65</v>
      </c>
      <c r="E14" s="487" t="s">
        <v>66</v>
      </c>
      <c r="F14" s="483" t="s">
        <v>67</v>
      </c>
      <c r="G14" s="484" t="s">
        <v>68</v>
      </c>
      <c r="H14" s="483" t="s">
        <v>69</v>
      </c>
      <c r="I14" s="483" t="s">
        <v>70</v>
      </c>
      <c r="J14" s="483" t="s">
        <v>71</v>
      </c>
    </row>
    <row r="15" spans="4:10" s="25" customFormat="1" ht="44.25" customHeight="1" x14ac:dyDescent="0.65">
      <c r="D15" s="339" t="s">
        <v>72</v>
      </c>
      <c r="E15" s="332"/>
      <c r="F15" s="340" t="s">
        <v>73</v>
      </c>
      <c r="G15" s="333" t="s">
        <v>801</v>
      </c>
      <c r="H15" s="334">
        <f>0.0125*0.096*2*10*J15</f>
        <v>600</v>
      </c>
      <c r="I15" s="334">
        <f>H15/1.8</f>
        <v>333.33333333333331</v>
      </c>
      <c r="J15" s="334">
        <v>25000</v>
      </c>
    </row>
    <row r="16" spans="4:10" s="25" customFormat="1" ht="44.25" customHeight="1" x14ac:dyDescent="0.65">
      <c r="D16" s="104" t="s">
        <v>72</v>
      </c>
      <c r="E16" s="163"/>
      <c r="F16" s="161" t="s">
        <v>73</v>
      </c>
      <c r="G16" s="254" t="s">
        <v>74</v>
      </c>
      <c r="H16" s="42">
        <f>0.0125*0.096*2*10*J16</f>
        <v>672</v>
      </c>
      <c r="I16" s="42">
        <f>H16/1.8</f>
        <v>373.33333333333331</v>
      </c>
      <c r="J16" s="42">
        <v>28000</v>
      </c>
    </row>
    <row r="17" spans="4:10" s="155" customFormat="1" ht="44.25" customHeight="1" x14ac:dyDescent="0.65">
      <c r="D17" s="104" t="s">
        <v>75</v>
      </c>
      <c r="E17" s="163"/>
      <c r="F17" s="161" t="s">
        <v>73</v>
      </c>
      <c r="G17" s="254" t="s">
        <v>76</v>
      </c>
      <c r="H17" s="41">
        <f>0.0125*0.096*2.1*10*J17</f>
        <v>705.60000000000025</v>
      </c>
      <c r="I17" s="41">
        <f>H17/1.89</f>
        <v>373.33333333333348</v>
      </c>
      <c r="J17" s="42">
        <v>28000</v>
      </c>
    </row>
    <row r="18" spans="4:10" s="155" customFormat="1" ht="44.25" customHeight="1" x14ac:dyDescent="0.65">
      <c r="D18" s="158" t="s">
        <v>77</v>
      </c>
      <c r="E18" s="163"/>
      <c r="F18" s="157" t="s">
        <v>73</v>
      </c>
      <c r="G18" s="255" t="s">
        <v>78</v>
      </c>
      <c r="H18" s="41">
        <f>0.0125*0.096*2.5*10*J18</f>
        <v>840</v>
      </c>
      <c r="I18" s="41">
        <f>H18/2.47</f>
        <v>340.08097165991899</v>
      </c>
      <c r="J18" s="42">
        <v>28000</v>
      </c>
    </row>
    <row r="19" spans="4:10" ht="44.25" customHeight="1" x14ac:dyDescent="0.65">
      <c r="D19" s="158" t="s">
        <v>650</v>
      </c>
      <c r="E19" s="163"/>
      <c r="F19" s="162" t="s">
        <v>73</v>
      </c>
      <c r="G19" s="107" t="s">
        <v>88</v>
      </c>
      <c r="H19" s="41">
        <f>0.0125*0.096*2.7*10*J19</f>
        <v>907.20000000000016</v>
      </c>
      <c r="I19" s="41">
        <f>H19/2.43</f>
        <v>373.33333333333337</v>
      </c>
      <c r="J19" s="41">
        <v>28000</v>
      </c>
    </row>
    <row r="20" spans="4:10" s="25" customFormat="1" ht="44.25" customHeight="1" x14ac:dyDescent="0.65">
      <c r="D20" s="319" t="s">
        <v>79</v>
      </c>
      <c r="E20" s="320"/>
      <c r="F20" s="321" t="s">
        <v>73</v>
      </c>
      <c r="G20" s="322" t="s">
        <v>805</v>
      </c>
      <c r="H20" s="323">
        <f>0.0125*0.096*2.75*10*J20</f>
        <v>825</v>
      </c>
      <c r="I20" s="323">
        <f>H20/2.47</f>
        <v>334.0080971659919</v>
      </c>
      <c r="J20" s="323">
        <v>25000</v>
      </c>
    </row>
    <row r="21" spans="4:10" s="25" customFormat="1" ht="44.25" customHeight="1" thickBot="1" x14ac:dyDescent="0.7">
      <c r="D21" s="319" t="s">
        <v>80</v>
      </c>
      <c r="E21" s="320"/>
      <c r="F21" s="321" t="s">
        <v>73</v>
      </c>
      <c r="G21" s="322" t="s">
        <v>799</v>
      </c>
      <c r="H21" s="337">
        <f>0.0125*0.096*3*10*J21</f>
        <v>900.00000000000011</v>
      </c>
      <c r="I21" s="328">
        <f>H21/2.7</f>
        <v>333.33333333333337</v>
      </c>
      <c r="J21" s="328">
        <v>25000</v>
      </c>
    </row>
    <row r="22" spans="4:10" s="25" customFormat="1" ht="44.25" customHeight="1" thickBot="1" x14ac:dyDescent="0.7">
      <c r="D22" s="158" t="s">
        <v>80</v>
      </c>
      <c r="E22" s="163"/>
      <c r="F22" s="157" t="s">
        <v>73</v>
      </c>
      <c r="G22" s="255" t="s">
        <v>81</v>
      </c>
      <c r="H22" s="171">
        <f>0.0125*0.096*3*10*J22</f>
        <v>1008.0000000000001</v>
      </c>
      <c r="I22" s="42">
        <f>H22/2.7</f>
        <v>373.33333333333337</v>
      </c>
      <c r="J22" s="42">
        <v>28000</v>
      </c>
    </row>
    <row r="23" spans="4:10" s="155" customFormat="1" ht="44.25" customHeight="1" x14ac:dyDescent="0.65">
      <c r="D23" s="127" t="s">
        <v>82</v>
      </c>
      <c r="E23" s="163"/>
      <c r="F23" s="160" t="s">
        <v>73</v>
      </c>
      <c r="G23" s="253" t="s">
        <v>74</v>
      </c>
      <c r="H23" s="44">
        <f>0.0125*0.096*2*10*J23</f>
        <v>888</v>
      </c>
      <c r="I23" s="44">
        <f>H23/1.8</f>
        <v>493.33333333333331</v>
      </c>
      <c r="J23" s="44">
        <v>37000</v>
      </c>
    </row>
    <row r="24" spans="4:10" s="155" customFormat="1" ht="44.25" customHeight="1" x14ac:dyDescent="0.65">
      <c r="D24" s="104" t="s">
        <v>695</v>
      </c>
      <c r="E24" s="163"/>
      <c r="F24" s="161" t="s">
        <v>73</v>
      </c>
      <c r="G24" s="254" t="s">
        <v>76</v>
      </c>
      <c r="H24" s="41">
        <f>0.0125*0.096*2.1*10*J24</f>
        <v>932.40000000000032</v>
      </c>
      <c r="I24" s="41">
        <f>H24/1.89</f>
        <v>493.33333333333354</v>
      </c>
      <c r="J24" s="42">
        <v>37000</v>
      </c>
    </row>
    <row r="25" spans="4:10" s="155" customFormat="1" ht="44.25" customHeight="1" x14ac:dyDescent="0.65">
      <c r="D25" s="158" t="s">
        <v>696</v>
      </c>
      <c r="E25" s="163"/>
      <c r="F25" s="157" t="s">
        <v>73</v>
      </c>
      <c r="G25" s="255" t="s">
        <v>78</v>
      </c>
      <c r="H25" s="41">
        <f>0.0125*0.096*2.5*10*J25</f>
        <v>1110</v>
      </c>
      <c r="I25" s="41">
        <f>H25/2.47</f>
        <v>449.39271255060726</v>
      </c>
      <c r="J25" s="42">
        <v>37000</v>
      </c>
    </row>
    <row r="26" spans="4:10" s="155" customFormat="1" ht="44.25" customHeight="1" x14ac:dyDescent="0.65">
      <c r="D26" s="158" t="s">
        <v>678</v>
      </c>
      <c r="E26" s="163"/>
      <c r="F26" s="162" t="s">
        <v>73</v>
      </c>
      <c r="G26" s="107" t="s">
        <v>88</v>
      </c>
      <c r="H26" s="41">
        <f>0.0125*0.096*2.7*10*J26</f>
        <v>1198.8000000000002</v>
      </c>
      <c r="I26" s="41">
        <f>H26/2.43</f>
        <v>493.33333333333337</v>
      </c>
      <c r="J26" s="41">
        <v>37000</v>
      </c>
    </row>
    <row r="27" spans="4:10" s="155" customFormat="1" ht="44.25" customHeight="1" thickBot="1" x14ac:dyDescent="0.7">
      <c r="D27" s="271" t="s">
        <v>659</v>
      </c>
      <c r="E27" s="163"/>
      <c r="F27" s="338" t="s">
        <v>73</v>
      </c>
      <c r="G27" s="324" t="s">
        <v>81</v>
      </c>
      <c r="H27" s="274">
        <f>0.0125*0.096*3*10*J27</f>
        <v>1332.0000000000002</v>
      </c>
      <c r="I27" s="274">
        <f>H27/2.7</f>
        <v>493.33333333333337</v>
      </c>
      <c r="J27" s="274">
        <v>37000</v>
      </c>
    </row>
    <row r="28" spans="4:10" s="155" customFormat="1" ht="44.25" customHeight="1" x14ac:dyDescent="0.65">
      <c r="D28" s="104" t="s">
        <v>83</v>
      </c>
      <c r="E28" s="163"/>
      <c r="F28" s="419" t="s">
        <v>73</v>
      </c>
      <c r="G28" s="420" t="s">
        <v>907</v>
      </c>
      <c r="H28" s="42">
        <f>0.0125*0.096*1.5*10*J28</f>
        <v>720.00000000000011</v>
      </c>
      <c r="I28" s="42">
        <f>H28/1.35</f>
        <v>533.33333333333337</v>
      </c>
      <c r="J28" s="42">
        <v>40000</v>
      </c>
    </row>
    <row r="29" spans="4:10" s="155" customFormat="1" ht="44.25" customHeight="1" x14ac:dyDescent="0.65">
      <c r="D29" s="325" t="s">
        <v>83</v>
      </c>
      <c r="E29" s="320"/>
      <c r="F29" s="326" t="s">
        <v>73</v>
      </c>
      <c r="G29" s="327" t="s">
        <v>800</v>
      </c>
      <c r="H29" s="328">
        <f>0.0125*0.096*1.5*10*J29</f>
        <v>684.00000000000011</v>
      </c>
      <c r="I29" s="328">
        <f>H29/1.35</f>
        <v>506.66666666666674</v>
      </c>
      <c r="J29" s="328">
        <v>38000</v>
      </c>
    </row>
    <row r="30" spans="4:10" s="25" customFormat="1" ht="44.25" customHeight="1" x14ac:dyDescent="0.65">
      <c r="D30" s="329" t="s">
        <v>84</v>
      </c>
      <c r="E30" s="320"/>
      <c r="F30" s="326" t="s">
        <v>73</v>
      </c>
      <c r="G30" s="322" t="s">
        <v>801</v>
      </c>
      <c r="H30" s="323">
        <f>0.0125*0.096*2*10*J30</f>
        <v>912</v>
      </c>
      <c r="I30" s="323">
        <f>H30/1.8</f>
        <v>506.66666666666663</v>
      </c>
      <c r="J30" s="328">
        <v>38000</v>
      </c>
    </row>
    <row r="31" spans="4:10" s="25" customFormat="1" ht="44.25" customHeight="1" x14ac:dyDescent="0.65">
      <c r="D31" s="329" t="s">
        <v>85</v>
      </c>
      <c r="E31" s="320"/>
      <c r="F31" s="326" t="s">
        <v>73</v>
      </c>
      <c r="G31" s="322" t="s">
        <v>802</v>
      </c>
      <c r="H31" s="323">
        <f>0.0125*0.096*2.1*10*J31</f>
        <v>957.60000000000025</v>
      </c>
      <c r="I31" s="323">
        <f>H31/1.89</f>
        <v>506.6666666666668</v>
      </c>
      <c r="J31" s="328">
        <v>38000</v>
      </c>
    </row>
    <row r="32" spans="4:10" ht="44.25" customHeight="1" x14ac:dyDescent="0.65">
      <c r="D32" s="319" t="s">
        <v>87</v>
      </c>
      <c r="E32" s="320"/>
      <c r="F32" s="330" t="s">
        <v>73</v>
      </c>
      <c r="G32" s="331" t="s">
        <v>803</v>
      </c>
      <c r="H32" s="323">
        <f>0.0125*0.096*2.7*10*J32</f>
        <v>1231.2000000000003</v>
      </c>
      <c r="I32" s="323">
        <f>H32/2.43</f>
        <v>506.66666666666674</v>
      </c>
      <c r="J32" s="328">
        <v>38000</v>
      </c>
    </row>
    <row r="33" spans="4:10" ht="44.25" customHeight="1" x14ac:dyDescent="0.65">
      <c r="D33" s="319" t="s">
        <v>29</v>
      </c>
      <c r="E33" s="320"/>
      <c r="F33" s="330" t="s">
        <v>73</v>
      </c>
      <c r="G33" s="331" t="s">
        <v>804</v>
      </c>
      <c r="H33" s="323">
        <f>0.0125*0.096*2.8*10*J33</f>
        <v>1276.8000000000002</v>
      </c>
      <c r="I33" s="323">
        <f>H33/2.52</f>
        <v>506.66666666666674</v>
      </c>
      <c r="J33" s="328">
        <v>38000</v>
      </c>
    </row>
    <row r="34" spans="4:10" s="25" customFormat="1" ht="44.25" customHeight="1" x14ac:dyDescent="0.65">
      <c r="D34" s="319" t="s">
        <v>30</v>
      </c>
      <c r="E34" s="320"/>
      <c r="F34" s="330" t="s">
        <v>73</v>
      </c>
      <c r="G34" s="331" t="s">
        <v>799</v>
      </c>
      <c r="H34" s="323">
        <f>0.0125*0.096*3*10*J34</f>
        <v>1368.0000000000002</v>
      </c>
      <c r="I34" s="323">
        <f>H34/2.7</f>
        <v>506.66666666666674</v>
      </c>
      <c r="J34" s="328">
        <v>38000</v>
      </c>
    </row>
    <row r="35" spans="4:10" ht="44.25" customHeight="1" thickBot="1" x14ac:dyDescent="0.7">
      <c r="D35" s="268" t="s">
        <v>658</v>
      </c>
      <c r="E35" s="163"/>
      <c r="F35" s="226" t="s">
        <v>73</v>
      </c>
      <c r="G35" s="269" t="s">
        <v>96</v>
      </c>
      <c r="H35" s="270">
        <f>0.0125*0.096*6*10*J35</f>
        <v>2880.0000000000005</v>
      </c>
      <c r="I35" s="270">
        <f>H35/5.4</f>
        <v>533.33333333333337</v>
      </c>
      <c r="J35" s="270">
        <v>40000</v>
      </c>
    </row>
    <row r="36" spans="4:10" ht="44.25" customHeight="1" x14ac:dyDescent="0.65">
      <c r="D36" s="127" t="s">
        <v>90</v>
      </c>
      <c r="E36" s="163"/>
      <c r="F36" s="160" t="s">
        <v>73</v>
      </c>
      <c r="G36" s="253" t="s">
        <v>74</v>
      </c>
      <c r="H36" s="44">
        <f>0.0125*0.096*2*10*J36</f>
        <v>1008</v>
      </c>
      <c r="I36" s="44">
        <f>H36/1.8</f>
        <v>560</v>
      </c>
      <c r="J36" s="45">
        <v>42000</v>
      </c>
    </row>
    <row r="37" spans="4:10" ht="44.25" customHeight="1" x14ac:dyDescent="0.65">
      <c r="D37" s="325" t="s">
        <v>91</v>
      </c>
      <c r="E37" s="320"/>
      <c r="F37" s="335" t="s">
        <v>73</v>
      </c>
      <c r="G37" s="336" t="s">
        <v>802</v>
      </c>
      <c r="H37" s="323">
        <f>0.0125*0.096*2.1*10*J37</f>
        <v>1008.0000000000003</v>
      </c>
      <c r="I37" s="323">
        <f>H37/1.89</f>
        <v>533.33333333333348</v>
      </c>
      <c r="J37" s="341">
        <v>40000</v>
      </c>
    </row>
    <row r="38" spans="4:10" ht="44.25" customHeight="1" x14ac:dyDescent="0.65">
      <c r="D38" s="104" t="s">
        <v>91</v>
      </c>
      <c r="E38" s="163"/>
      <c r="F38" s="161" t="s">
        <v>73</v>
      </c>
      <c r="G38" s="254" t="s">
        <v>76</v>
      </c>
      <c r="H38" s="41">
        <f>0.0125*0.096*2.1*10*J38</f>
        <v>1058.4000000000003</v>
      </c>
      <c r="I38" s="41">
        <f>H38/1.89</f>
        <v>560.00000000000023</v>
      </c>
      <c r="J38" s="43">
        <v>42000</v>
      </c>
    </row>
    <row r="39" spans="4:10" ht="44.25" customHeight="1" x14ac:dyDescent="0.65">
      <c r="D39" s="159" t="s">
        <v>92</v>
      </c>
      <c r="E39" s="163"/>
      <c r="F39" s="161" t="s">
        <v>73</v>
      </c>
      <c r="G39" s="254" t="s">
        <v>86</v>
      </c>
      <c r="H39" s="41">
        <f>0.0125*0.096*2.5*10*J39</f>
        <v>1260</v>
      </c>
      <c r="I39" s="41">
        <f>H39/2.295</f>
        <v>549.01960784313724</v>
      </c>
      <c r="J39" s="43">
        <v>42000</v>
      </c>
    </row>
    <row r="40" spans="4:10" ht="44.25" customHeight="1" x14ac:dyDescent="0.65">
      <c r="D40" s="158" t="s">
        <v>679</v>
      </c>
      <c r="E40" s="163"/>
      <c r="F40" s="162" t="s">
        <v>73</v>
      </c>
      <c r="G40" s="107" t="s">
        <v>88</v>
      </c>
      <c r="H40" s="41">
        <f>0.0125*0.096*2.7*10*J40</f>
        <v>1360.8000000000002</v>
      </c>
      <c r="I40" s="41">
        <f>H40/2.43</f>
        <v>560</v>
      </c>
      <c r="J40" s="41">
        <v>42000</v>
      </c>
    </row>
    <row r="41" spans="4:10" ht="44.25" customHeight="1" x14ac:dyDescent="0.65">
      <c r="D41" s="329" t="s">
        <v>93</v>
      </c>
      <c r="E41" s="320"/>
      <c r="F41" s="335" t="s">
        <v>73</v>
      </c>
      <c r="G41" s="336" t="s">
        <v>806</v>
      </c>
      <c r="H41" s="323">
        <f>0.0125*0.096*2.75*10*J41</f>
        <v>1320</v>
      </c>
      <c r="I41" s="323">
        <f>H41/2.475</f>
        <v>533.33333333333326</v>
      </c>
      <c r="J41" s="341">
        <v>40000</v>
      </c>
    </row>
    <row r="42" spans="4:10" s="25" customFormat="1" ht="44.25" customHeight="1" x14ac:dyDescent="0.65">
      <c r="D42" s="158" t="s">
        <v>94</v>
      </c>
      <c r="E42" s="163"/>
      <c r="F42" s="157" t="s">
        <v>73</v>
      </c>
      <c r="G42" s="255" t="s">
        <v>81</v>
      </c>
      <c r="H42" s="41">
        <f>0.0125*0.096*3*10*J42</f>
        <v>1512.0000000000002</v>
      </c>
      <c r="I42" s="41">
        <f>H42/2.7</f>
        <v>560</v>
      </c>
      <c r="J42" s="128">
        <v>42000</v>
      </c>
    </row>
    <row r="43" spans="4:10" s="155" customFormat="1" ht="44.25" customHeight="1" thickBot="1" x14ac:dyDescent="0.7">
      <c r="D43" s="271" t="s">
        <v>95</v>
      </c>
      <c r="E43" s="170"/>
      <c r="F43" s="272" t="s">
        <v>73</v>
      </c>
      <c r="G43" s="273" t="s">
        <v>89</v>
      </c>
      <c r="H43" s="274">
        <f>0.0125*0.096*4*10*J43</f>
        <v>2016</v>
      </c>
      <c r="I43" s="274">
        <f>H43/3.52</f>
        <v>572.72727272727275</v>
      </c>
      <c r="J43" s="274">
        <v>42000</v>
      </c>
    </row>
    <row r="44" spans="4:10" ht="27.6" customHeight="1" x14ac:dyDescent="0.3">
      <c r="D44" s="14"/>
      <c r="E44" s="24"/>
      <c r="F44" s="14"/>
      <c r="G44" s="14"/>
      <c r="H44" s="18"/>
      <c r="I44" s="18"/>
      <c r="J44" s="18"/>
    </row>
    <row r="45" spans="4:10" ht="48.6" customHeight="1" x14ac:dyDescent="0.3">
      <c r="D45" s="755" t="s">
        <v>97</v>
      </c>
      <c r="E45" s="755"/>
      <c r="F45" s="755"/>
      <c r="G45" s="755"/>
      <c r="H45" s="755"/>
      <c r="I45" s="755"/>
      <c r="J45" s="755"/>
    </row>
    <row r="46" spans="4:10" ht="37.9" customHeight="1" thickBot="1" x14ac:dyDescent="0.35">
      <c r="D46" s="14"/>
      <c r="E46" s="24"/>
      <c r="F46" s="14"/>
      <c r="G46" s="14"/>
      <c r="H46" s="18"/>
      <c r="I46" s="18"/>
      <c r="J46" s="18"/>
    </row>
    <row r="47" spans="4:10" ht="138" customHeight="1" thickBot="1" x14ac:dyDescent="0.35">
      <c r="D47" s="481" t="s">
        <v>98</v>
      </c>
      <c r="E47" s="481" t="s">
        <v>66</v>
      </c>
      <c r="F47" s="483" t="s">
        <v>67</v>
      </c>
      <c r="G47" s="483" t="s">
        <v>68</v>
      </c>
      <c r="H47" s="483" t="s">
        <v>107</v>
      </c>
      <c r="I47" s="483" t="s">
        <v>70</v>
      </c>
      <c r="J47" s="483" t="s">
        <v>71</v>
      </c>
    </row>
    <row r="48" spans="4:10" ht="43.5" customHeight="1" x14ac:dyDescent="0.65">
      <c r="D48" s="325" t="s">
        <v>828</v>
      </c>
      <c r="E48" s="413"/>
      <c r="F48" s="409" t="s">
        <v>99</v>
      </c>
      <c r="G48" s="360" t="s">
        <v>829</v>
      </c>
      <c r="H48" s="341">
        <f>0.013*0.09*3*J48</f>
        <v>87.749999999999986</v>
      </c>
      <c r="I48" s="361">
        <f>H48*7/1.764</f>
        <v>348.21428571428567</v>
      </c>
      <c r="J48" s="328">
        <v>25000</v>
      </c>
    </row>
    <row r="49" spans="4:10" ht="43.5" customHeight="1" x14ac:dyDescent="0.65">
      <c r="D49" s="158" t="s">
        <v>900</v>
      </c>
      <c r="E49" s="406"/>
      <c r="F49" s="410" t="s">
        <v>99</v>
      </c>
      <c r="G49" s="404" t="s">
        <v>797</v>
      </c>
      <c r="H49" s="128">
        <f>0.013*0.146*3*J49</f>
        <v>159.43199999999999</v>
      </c>
      <c r="I49" s="405">
        <f>H49*7/2.877</f>
        <v>387.91240875912411</v>
      </c>
      <c r="J49" s="41">
        <v>28000</v>
      </c>
    </row>
    <row r="50" spans="4:10" ht="43.5" customHeight="1" x14ac:dyDescent="0.3">
      <c r="D50" s="104" t="s">
        <v>901</v>
      </c>
      <c r="E50" s="407"/>
      <c r="F50" s="411" t="s">
        <v>100</v>
      </c>
      <c r="G50" s="402" t="s">
        <v>902</v>
      </c>
      <c r="H50" s="403">
        <f>0.016*0.123*3*J50</f>
        <v>165.31200000000001</v>
      </c>
      <c r="I50" s="403">
        <f>H50*6/2.088</f>
        <v>475.0344827586207</v>
      </c>
      <c r="J50" s="42">
        <v>28000</v>
      </c>
    </row>
    <row r="51" spans="4:10" ht="43.5" customHeight="1" x14ac:dyDescent="0.65">
      <c r="D51" s="325" t="s">
        <v>905</v>
      </c>
      <c r="E51" s="406"/>
      <c r="F51" s="418" t="s">
        <v>99</v>
      </c>
      <c r="G51" s="360" t="s">
        <v>906</v>
      </c>
      <c r="H51" s="341">
        <f>0.013*0.146*6*J51</f>
        <v>284.7</v>
      </c>
      <c r="I51" s="361">
        <f>H51*7/5.754</f>
        <v>346.35036496350364</v>
      </c>
      <c r="J51" s="328">
        <v>25000</v>
      </c>
    </row>
    <row r="52" spans="4:10" ht="43.5" customHeight="1" x14ac:dyDescent="0.65">
      <c r="D52" s="104" t="s">
        <v>790</v>
      </c>
      <c r="E52" s="408"/>
      <c r="F52" s="411" t="s">
        <v>99</v>
      </c>
      <c r="G52" s="105" t="s">
        <v>794</v>
      </c>
      <c r="H52" s="43">
        <f>0.013*0.146*6*J52</f>
        <v>512.45999999999992</v>
      </c>
      <c r="I52" s="103">
        <f>H52*7/5.754</f>
        <v>623.43065693430651</v>
      </c>
      <c r="J52" s="42">
        <v>45000</v>
      </c>
    </row>
    <row r="53" spans="4:10" ht="43.5" customHeight="1" x14ac:dyDescent="0.65">
      <c r="D53" s="104" t="s">
        <v>791</v>
      </c>
      <c r="E53" s="408"/>
      <c r="F53" s="411" t="s">
        <v>99</v>
      </c>
      <c r="G53" s="105" t="s">
        <v>795</v>
      </c>
      <c r="H53" s="43">
        <f>0.013*0.146*5*J53</f>
        <v>427.04999999999995</v>
      </c>
      <c r="I53" s="103">
        <f>H53*7/4.795</f>
        <v>623.43065693430651</v>
      </c>
      <c r="J53" s="42">
        <v>45000</v>
      </c>
    </row>
    <row r="54" spans="4:10" ht="43.5" customHeight="1" x14ac:dyDescent="0.65">
      <c r="D54" s="104" t="s">
        <v>792</v>
      </c>
      <c r="E54" s="408"/>
      <c r="F54" s="411" t="s">
        <v>99</v>
      </c>
      <c r="G54" s="105" t="s">
        <v>796</v>
      </c>
      <c r="H54" s="43">
        <f>0.013*0.146*4*J54</f>
        <v>341.63999999999993</v>
      </c>
      <c r="I54" s="103">
        <f>H54*7/3.836</f>
        <v>623.43065693430651</v>
      </c>
      <c r="J54" s="42">
        <v>45000</v>
      </c>
    </row>
    <row r="55" spans="4:10" ht="43.5" customHeight="1" thickBot="1" x14ac:dyDescent="0.7">
      <c r="D55" s="104" t="s">
        <v>793</v>
      </c>
      <c r="E55" s="414"/>
      <c r="F55" s="412" t="s">
        <v>99</v>
      </c>
      <c r="G55" s="105" t="s">
        <v>797</v>
      </c>
      <c r="H55" s="43">
        <f>0.013*0.146*3*J55</f>
        <v>256.22999999999996</v>
      </c>
      <c r="I55" s="103">
        <f>H55*7/2.877</f>
        <v>623.43065693430651</v>
      </c>
      <c r="J55" s="42">
        <v>45000</v>
      </c>
    </row>
    <row r="56" spans="4:10" ht="30.75" thickBot="1" x14ac:dyDescent="0.35">
      <c r="D56" s="751" t="s">
        <v>655</v>
      </c>
      <c r="E56" s="752"/>
      <c r="F56" s="752"/>
      <c r="G56" s="752"/>
      <c r="H56" s="752"/>
      <c r="I56" s="752"/>
      <c r="J56" s="753"/>
    </row>
    <row r="57" spans="4:10" x14ac:dyDescent="0.3">
      <c r="E57" s="6"/>
    </row>
    <row r="58" spans="4:10" x14ac:dyDescent="0.3">
      <c r="E58" s="6"/>
    </row>
    <row r="59" spans="4:10" x14ac:dyDescent="0.3">
      <c r="E59" s="6"/>
    </row>
    <row r="60" spans="4:10" x14ac:dyDescent="0.3">
      <c r="E60" s="6"/>
    </row>
    <row r="61" spans="4:10" x14ac:dyDescent="0.3">
      <c r="E61" s="6"/>
    </row>
    <row r="62" spans="4:10" x14ac:dyDescent="0.3">
      <c r="E62" s="6"/>
    </row>
    <row r="63" spans="4:10" x14ac:dyDescent="0.3">
      <c r="E63" s="6"/>
    </row>
    <row r="64" spans="4:10" x14ac:dyDescent="0.3">
      <c r="E64" s="6"/>
    </row>
  </sheetData>
  <mergeCells count="11">
    <mergeCell ref="D56:J56"/>
    <mergeCell ref="D4:J4"/>
    <mergeCell ref="D5:J5"/>
    <mergeCell ref="D6:J6"/>
    <mergeCell ref="D7:J7"/>
    <mergeCell ref="D8:J8"/>
    <mergeCell ref="D9:J9"/>
    <mergeCell ref="D11:J11"/>
    <mergeCell ref="D45:J45"/>
    <mergeCell ref="D13:J13"/>
    <mergeCell ref="D12:J12"/>
  </mergeCells>
  <pageMargins left="0.41" right="0" top="0.19700000000000001" bottom="0" header="0" footer="0"/>
  <pageSetup paperSize="9" scale="3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3:L41"/>
  <sheetViews>
    <sheetView view="pageBreakPreview" zoomScale="40" zoomScaleSheetLayoutView="40" workbookViewId="0">
      <selection activeCell="C13" sqref="C13:I13"/>
    </sheetView>
  </sheetViews>
  <sheetFormatPr defaultColWidth="9.140625" defaultRowHeight="20.25" x14ac:dyDescent="0.3"/>
  <cols>
    <col min="1" max="1" width="25.28515625" style="6" customWidth="1"/>
    <col min="2" max="2" width="20.140625" style="6" customWidth="1"/>
    <col min="3" max="3" width="83.140625" style="6" customWidth="1"/>
    <col min="4" max="4" width="23.140625" style="7" customWidth="1"/>
    <col min="5" max="5" width="21.28515625" style="6" customWidth="1"/>
    <col min="6" max="6" width="24" style="6" customWidth="1"/>
    <col min="7" max="7" width="19.28515625" style="6" customWidth="1"/>
    <col min="8" max="8" width="19.140625" style="6" customWidth="1"/>
    <col min="9" max="9" width="22.7109375" style="6" customWidth="1"/>
    <col min="10" max="10" width="7" style="6" customWidth="1"/>
    <col min="11" max="16384" width="9.140625" style="6"/>
  </cols>
  <sheetData>
    <row r="3" spans="3:12" ht="30.75" x14ac:dyDescent="0.45">
      <c r="C3" s="29"/>
      <c r="D3" s="164"/>
      <c r="E3" s="29"/>
      <c r="F3" s="29"/>
      <c r="G3" s="29"/>
      <c r="H3" s="29"/>
      <c r="I3" s="29"/>
    </row>
    <row r="4" spans="3:12" ht="24" customHeight="1" x14ac:dyDescent="0.45">
      <c r="C4" s="748" t="s">
        <v>101</v>
      </c>
      <c r="D4" s="748"/>
      <c r="E4" s="748"/>
      <c r="F4" s="748"/>
      <c r="G4" s="748"/>
      <c r="H4" s="748"/>
      <c r="I4" s="748"/>
    </row>
    <row r="5" spans="3:12" ht="24" customHeight="1" x14ac:dyDescent="0.3">
      <c r="C5" s="749" t="s">
        <v>1</v>
      </c>
      <c r="D5" s="749"/>
      <c r="E5" s="749"/>
      <c r="F5" s="749"/>
      <c r="G5" s="749"/>
      <c r="H5" s="749"/>
      <c r="I5" s="749"/>
    </row>
    <row r="6" spans="3:12" ht="24" customHeight="1" x14ac:dyDescent="0.45">
      <c r="C6" s="748" t="s">
        <v>102</v>
      </c>
      <c r="D6" s="748"/>
      <c r="E6" s="748"/>
      <c r="F6" s="748"/>
      <c r="G6" s="748"/>
      <c r="H6" s="748"/>
      <c r="I6" s="748"/>
    </row>
    <row r="7" spans="3:12" ht="24" customHeight="1" x14ac:dyDescent="0.45">
      <c r="C7" s="748" t="s">
        <v>103</v>
      </c>
      <c r="D7" s="748"/>
      <c r="E7" s="748"/>
      <c r="F7" s="748"/>
      <c r="G7" s="748"/>
      <c r="H7" s="748"/>
      <c r="I7" s="748"/>
    </row>
    <row r="8" spans="3:12" ht="24" customHeight="1" x14ac:dyDescent="0.45">
      <c r="C8" s="748" t="s">
        <v>1105</v>
      </c>
      <c r="D8" s="748"/>
      <c r="E8" s="748"/>
      <c r="F8" s="748"/>
      <c r="G8" s="748"/>
      <c r="H8" s="748"/>
      <c r="I8" s="748"/>
    </row>
    <row r="9" spans="3:12" ht="24" customHeight="1" x14ac:dyDescent="0.45">
      <c r="C9" s="748" t="s">
        <v>37</v>
      </c>
      <c r="D9" s="748"/>
      <c r="E9" s="748"/>
      <c r="F9" s="748"/>
      <c r="G9" s="748"/>
      <c r="H9" s="748"/>
      <c r="I9" s="748"/>
    </row>
    <row r="10" spans="3:12" ht="18.75" customHeight="1" x14ac:dyDescent="0.3">
      <c r="G10" s="10"/>
      <c r="H10" s="14"/>
    </row>
    <row r="11" spans="3:12" ht="40.9" customHeight="1" x14ac:dyDescent="0.3">
      <c r="C11" s="739" t="s">
        <v>25</v>
      </c>
      <c r="D11" s="739"/>
      <c r="E11" s="739"/>
      <c r="F11" s="739"/>
      <c r="G11" s="739"/>
      <c r="H11" s="739"/>
      <c r="I11" s="739"/>
      <c r="J11" s="174"/>
      <c r="K11" s="174"/>
      <c r="L11" s="174"/>
    </row>
    <row r="12" spans="3:12" ht="27.6" customHeight="1" x14ac:dyDescent="0.3">
      <c r="C12" s="750" t="s">
        <v>1095</v>
      </c>
      <c r="D12" s="750"/>
      <c r="E12" s="750"/>
      <c r="F12" s="750"/>
      <c r="G12" s="750"/>
      <c r="H12" s="750"/>
      <c r="I12" s="750"/>
      <c r="J12" s="174"/>
      <c r="K12" s="174"/>
      <c r="L12" s="174"/>
    </row>
    <row r="13" spans="3:12" ht="23.45" customHeight="1" thickBot="1" x14ac:dyDescent="0.45">
      <c r="C13" s="756" t="s">
        <v>1151</v>
      </c>
      <c r="D13" s="756"/>
      <c r="E13" s="756"/>
      <c r="F13" s="756"/>
      <c r="G13" s="756"/>
      <c r="H13" s="756"/>
      <c r="I13" s="756"/>
    </row>
    <row r="14" spans="3:12" ht="74.25" customHeight="1" thickBot="1" x14ac:dyDescent="0.35">
      <c r="C14" s="481" t="s">
        <v>104</v>
      </c>
      <c r="D14" s="482" t="s">
        <v>66</v>
      </c>
      <c r="E14" s="483" t="s">
        <v>105</v>
      </c>
      <c r="F14" s="484" t="s">
        <v>106</v>
      </c>
      <c r="G14" s="483" t="s">
        <v>107</v>
      </c>
      <c r="H14" s="484" t="s">
        <v>70</v>
      </c>
      <c r="I14" s="483" t="s">
        <v>71</v>
      </c>
    </row>
    <row r="15" spans="3:12" s="50" customFormat="1" ht="29.25" customHeight="1" x14ac:dyDescent="0.5">
      <c r="C15" s="46" t="s">
        <v>662</v>
      </c>
      <c r="D15" s="47"/>
      <c r="E15" s="46" t="s">
        <v>108</v>
      </c>
      <c r="F15" s="47" t="s">
        <v>109</v>
      </c>
      <c r="G15" s="150">
        <f>0.028*0.145*6*I15</f>
        <v>657.71999999999991</v>
      </c>
      <c r="H15" s="49">
        <f>G15*1.23</f>
        <v>808.99559999999985</v>
      </c>
      <c r="I15" s="48">
        <v>27000</v>
      </c>
    </row>
    <row r="16" spans="3:12" s="50" customFormat="1" ht="29.25" customHeight="1" x14ac:dyDescent="0.5">
      <c r="C16" s="135" t="s">
        <v>663</v>
      </c>
      <c r="D16" s="353"/>
      <c r="E16" s="135" t="s">
        <v>108</v>
      </c>
      <c r="F16" s="353" t="s">
        <v>110</v>
      </c>
      <c r="G16" s="134">
        <f>0.038*0.143*6*I16</f>
        <v>782.49599999999987</v>
      </c>
      <c r="H16" s="223">
        <f>G16*1.23</f>
        <v>962.47007999999983</v>
      </c>
      <c r="I16" s="134">
        <v>24000</v>
      </c>
    </row>
    <row r="17" spans="3:9" s="50" customFormat="1" ht="36.6" customHeight="1" x14ac:dyDescent="0.5">
      <c r="C17" s="358" t="s">
        <v>816</v>
      </c>
      <c r="D17" s="759"/>
      <c r="E17" s="251" t="s">
        <v>821</v>
      </c>
      <c r="F17" s="132" t="s">
        <v>822</v>
      </c>
      <c r="G17" s="133">
        <f>0.038*0.19*2*I17</f>
        <v>346.56</v>
      </c>
      <c r="H17" s="133">
        <f>G17*2.7</f>
        <v>935.7120000000001</v>
      </c>
      <c r="I17" s="133">
        <v>24000</v>
      </c>
    </row>
    <row r="18" spans="3:9" s="50" customFormat="1" ht="34.15" customHeight="1" x14ac:dyDescent="0.5">
      <c r="C18" s="358" t="s">
        <v>817</v>
      </c>
      <c r="D18" s="760"/>
      <c r="E18" s="251" t="s">
        <v>819</v>
      </c>
      <c r="F18" s="132" t="s">
        <v>820</v>
      </c>
      <c r="G18" s="133">
        <f>0.038*0.19*3*I18</f>
        <v>519.83999999999992</v>
      </c>
      <c r="H18" s="133">
        <f>G18*1.8</f>
        <v>935.71199999999988</v>
      </c>
      <c r="I18" s="133">
        <v>24000</v>
      </c>
    </row>
    <row r="19" spans="3:9" s="50" customFormat="1" ht="34.15" customHeight="1" x14ac:dyDescent="0.5">
      <c r="C19" s="358" t="s">
        <v>818</v>
      </c>
      <c r="D19" s="760"/>
      <c r="E19" s="251" t="s">
        <v>823</v>
      </c>
      <c r="F19" s="132" t="s">
        <v>824</v>
      </c>
      <c r="G19" s="133">
        <f>0.038*0.19*5*I19</f>
        <v>866.4</v>
      </c>
      <c r="H19" s="133">
        <f>G19*1.08</f>
        <v>935.71199999999999</v>
      </c>
      <c r="I19" s="133">
        <v>24000</v>
      </c>
    </row>
    <row r="20" spans="3:9" s="50" customFormat="1" ht="33" customHeight="1" thickBot="1" x14ac:dyDescent="0.55000000000000004">
      <c r="C20" s="267" t="s">
        <v>664</v>
      </c>
      <c r="D20" s="761"/>
      <c r="E20" s="54" t="s">
        <v>111</v>
      </c>
      <c r="F20" s="55" t="s">
        <v>112</v>
      </c>
      <c r="G20" s="136">
        <f>0.038*0.19*6*I20</f>
        <v>1169.6399999999999</v>
      </c>
      <c r="H20" s="56">
        <f>G20*0.9</f>
        <v>1052.6759999999999</v>
      </c>
      <c r="I20" s="136">
        <v>27000</v>
      </c>
    </row>
    <row r="21" spans="3:9" s="50" customFormat="1" ht="29.25" customHeight="1" x14ac:dyDescent="0.5">
      <c r="C21" s="135" t="s">
        <v>813</v>
      </c>
      <c r="D21" s="762"/>
      <c r="E21" s="135" t="s">
        <v>814</v>
      </c>
      <c r="F21" s="353" t="s">
        <v>815</v>
      </c>
      <c r="G21" s="134">
        <f>0.028*0.145*3*I21</f>
        <v>401.93999999999994</v>
      </c>
      <c r="H21" s="223">
        <f>G21*2.46</f>
        <v>988.77239999999983</v>
      </c>
      <c r="I21" s="134">
        <v>33000</v>
      </c>
    </row>
    <row r="22" spans="3:9" s="50" customFormat="1" ht="29.25" customHeight="1" x14ac:dyDescent="0.5">
      <c r="C22" s="380" t="s">
        <v>26</v>
      </c>
      <c r="D22" s="763"/>
      <c r="E22" s="380" t="s">
        <v>108</v>
      </c>
      <c r="F22" s="381" t="s">
        <v>109</v>
      </c>
      <c r="G22" s="382">
        <f>0.028*0.145*6*I22</f>
        <v>1047.4799999999998</v>
      </c>
      <c r="H22" s="383">
        <f>G22*1.23</f>
        <v>1288.4003999999998</v>
      </c>
      <c r="I22" s="382">
        <v>43000</v>
      </c>
    </row>
    <row r="23" spans="3:9" s="50" customFormat="1" ht="34.15" customHeight="1" x14ac:dyDescent="0.5">
      <c r="C23" s="359" t="s">
        <v>825</v>
      </c>
      <c r="D23" s="759"/>
      <c r="E23" s="251" t="s">
        <v>826</v>
      </c>
      <c r="F23" s="132" t="s">
        <v>827</v>
      </c>
      <c r="G23" s="134">
        <f>0.038*0.19*4*I23</f>
        <v>1010.8</v>
      </c>
      <c r="H23" s="223">
        <f>G23*1.35</f>
        <v>1364.58</v>
      </c>
      <c r="I23" s="134">
        <v>35000</v>
      </c>
    </row>
    <row r="24" spans="3:9" s="50" customFormat="1" ht="34.15" customHeight="1" x14ac:dyDescent="0.5">
      <c r="C24" s="359" t="s">
        <v>113</v>
      </c>
      <c r="D24" s="760"/>
      <c r="E24" s="251" t="s">
        <v>111</v>
      </c>
      <c r="F24" s="132" t="s">
        <v>112</v>
      </c>
      <c r="G24" s="134">
        <f>0.038*0.19*6*I24</f>
        <v>1559.52</v>
      </c>
      <c r="H24" s="223">
        <f>G24*0.9</f>
        <v>1403.568</v>
      </c>
      <c r="I24" s="134">
        <v>36000</v>
      </c>
    </row>
    <row r="25" spans="3:9" s="50" customFormat="1" ht="35.25" customHeight="1" x14ac:dyDescent="0.5">
      <c r="C25" s="384" t="s">
        <v>113</v>
      </c>
      <c r="D25" s="764"/>
      <c r="E25" s="386" t="s">
        <v>111</v>
      </c>
      <c r="F25" s="387" t="s">
        <v>112</v>
      </c>
      <c r="G25" s="382">
        <f>0.038*0.19*6*I25</f>
        <v>1862.76</v>
      </c>
      <c r="H25" s="383">
        <f>G25*0.9</f>
        <v>1676.4839999999999</v>
      </c>
      <c r="I25" s="382">
        <v>43000</v>
      </c>
    </row>
    <row r="26" spans="3:9" s="50" customFormat="1" ht="35.25" customHeight="1" thickBot="1" x14ac:dyDescent="0.55000000000000004">
      <c r="C26" s="385" t="s">
        <v>114</v>
      </c>
      <c r="D26" s="55"/>
      <c r="E26" s="388" t="s">
        <v>111</v>
      </c>
      <c r="F26" s="389" t="s">
        <v>112</v>
      </c>
      <c r="G26" s="390">
        <f>0.038*0.19*6*I26</f>
        <v>1862.76</v>
      </c>
      <c r="H26" s="391">
        <f>G26*0.9</f>
        <v>1676.4839999999999</v>
      </c>
      <c r="I26" s="390">
        <v>43000</v>
      </c>
    </row>
    <row r="27" spans="3:9" ht="15" customHeight="1" x14ac:dyDescent="0.3">
      <c r="C27" s="17"/>
      <c r="D27" s="14"/>
      <c r="E27" s="14"/>
      <c r="F27" s="14"/>
      <c r="G27" s="18"/>
      <c r="H27" s="18"/>
      <c r="I27" s="18"/>
    </row>
    <row r="28" spans="3:9" ht="38.25" customHeight="1" x14ac:dyDescent="0.3">
      <c r="C28" s="739" t="s">
        <v>31</v>
      </c>
      <c r="D28" s="739"/>
      <c r="E28" s="739"/>
      <c r="F28" s="739"/>
      <c r="G28" s="739"/>
      <c r="H28" s="739"/>
      <c r="I28" s="739"/>
    </row>
    <row r="29" spans="3:9" ht="18" customHeight="1" thickBot="1" x14ac:dyDescent="0.35">
      <c r="C29" s="17"/>
      <c r="D29" s="226"/>
      <c r="E29" s="14"/>
      <c r="F29" s="14"/>
      <c r="G29" s="18"/>
      <c r="H29" s="18"/>
      <c r="I29" s="18"/>
    </row>
    <row r="30" spans="3:9" ht="73.5" customHeight="1" thickBot="1" x14ac:dyDescent="0.35">
      <c r="C30" s="481" t="s">
        <v>115</v>
      </c>
      <c r="D30" s="485" t="s">
        <v>66</v>
      </c>
      <c r="E30" s="483" t="s">
        <v>105</v>
      </c>
      <c r="F30" s="484" t="s">
        <v>106</v>
      </c>
      <c r="G30" s="483" t="s">
        <v>107</v>
      </c>
      <c r="H30" s="484" t="s">
        <v>70</v>
      </c>
      <c r="I30" s="483" t="s">
        <v>71</v>
      </c>
    </row>
    <row r="31" spans="3:9" ht="31.15" customHeight="1" x14ac:dyDescent="0.3">
      <c r="C31" s="355" t="s">
        <v>116</v>
      </c>
      <c r="D31" s="357"/>
      <c r="E31" s="295" t="s">
        <v>117</v>
      </c>
      <c r="F31" s="353" t="s">
        <v>118</v>
      </c>
      <c r="G31" s="134">
        <f>0.02*0.095*3*I31</f>
        <v>142.5</v>
      </c>
      <c r="H31" s="223">
        <f>G31*3.7</f>
        <v>527.25</v>
      </c>
      <c r="I31" s="134">
        <v>25000</v>
      </c>
    </row>
    <row r="32" spans="3:9" ht="31.15" customHeight="1" x14ac:dyDescent="0.3">
      <c r="C32" s="120" t="s">
        <v>116</v>
      </c>
      <c r="D32" s="117"/>
      <c r="E32" s="121" t="s">
        <v>117</v>
      </c>
      <c r="F32" s="47" t="s">
        <v>118</v>
      </c>
      <c r="G32" s="48">
        <f>0.02*0.095*3*I32</f>
        <v>159.6</v>
      </c>
      <c r="H32" s="49">
        <f>G32*3.7</f>
        <v>590.52</v>
      </c>
      <c r="I32" s="48">
        <v>28000</v>
      </c>
    </row>
    <row r="33" spans="3:9" ht="31.15" customHeight="1" x14ac:dyDescent="0.3">
      <c r="C33" s="392" t="s">
        <v>32</v>
      </c>
      <c r="D33" s="378"/>
      <c r="E33" s="393" t="s">
        <v>108</v>
      </c>
      <c r="F33" s="387" t="s">
        <v>119</v>
      </c>
      <c r="G33" s="382">
        <f>0.028*0.14*6*I33</f>
        <v>658.56000000000017</v>
      </c>
      <c r="H33" s="383">
        <f>G33*1.23</f>
        <v>810.02880000000016</v>
      </c>
      <c r="I33" s="382">
        <v>28000</v>
      </c>
    </row>
    <row r="34" spans="3:9" ht="31.15" customHeight="1" x14ac:dyDescent="0.3">
      <c r="C34" s="57" t="s">
        <v>33</v>
      </c>
      <c r="D34" s="117"/>
      <c r="E34" s="122" t="s">
        <v>108</v>
      </c>
      <c r="F34" s="52" t="s">
        <v>120</v>
      </c>
      <c r="G34" s="48">
        <f>0.038*0.14*6*I34</f>
        <v>893.7600000000001</v>
      </c>
      <c r="H34" s="49">
        <f>G34*1.23</f>
        <v>1099.3248000000001</v>
      </c>
      <c r="I34" s="53">
        <v>28000</v>
      </c>
    </row>
    <row r="35" spans="3:9" s="50" customFormat="1" ht="29.25" customHeight="1" x14ac:dyDescent="0.5">
      <c r="C35" s="394" t="s">
        <v>121</v>
      </c>
      <c r="D35" s="378"/>
      <c r="E35" s="395" t="s">
        <v>117</v>
      </c>
      <c r="F35" s="381" t="s">
        <v>118</v>
      </c>
      <c r="G35" s="382">
        <f>0.02*0.095*3*I35</f>
        <v>228</v>
      </c>
      <c r="H35" s="383">
        <f>G35*3.7</f>
        <v>843.6</v>
      </c>
      <c r="I35" s="382">
        <v>40000</v>
      </c>
    </row>
    <row r="36" spans="3:9" s="50" customFormat="1" ht="29.25" customHeight="1" x14ac:dyDescent="0.5">
      <c r="C36" s="392" t="s">
        <v>122</v>
      </c>
      <c r="D36" s="378"/>
      <c r="E36" s="393" t="s">
        <v>108</v>
      </c>
      <c r="F36" s="387" t="s">
        <v>119</v>
      </c>
      <c r="G36" s="382">
        <f>0.028*0.14*6*I36</f>
        <v>940.8000000000003</v>
      </c>
      <c r="H36" s="383">
        <f>G36*1.23</f>
        <v>1157.1840000000004</v>
      </c>
      <c r="I36" s="382">
        <v>40000</v>
      </c>
    </row>
    <row r="37" spans="3:9" s="50" customFormat="1" ht="29.25" customHeight="1" x14ac:dyDescent="0.5">
      <c r="C37" s="392" t="s">
        <v>126</v>
      </c>
      <c r="D37" s="378"/>
      <c r="E37" s="393" t="s">
        <v>108</v>
      </c>
      <c r="F37" s="387" t="s">
        <v>120</v>
      </c>
      <c r="G37" s="382">
        <f>0.038*0.14*6*I37</f>
        <v>1276.8000000000002</v>
      </c>
      <c r="H37" s="383">
        <f>G37*1.23</f>
        <v>1570.4640000000002</v>
      </c>
      <c r="I37" s="396">
        <v>40000</v>
      </c>
    </row>
    <row r="38" spans="3:9" s="50" customFormat="1" ht="29.25" customHeight="1" x14ac:dyDescent="0.5">
      <c r="C38" s="57" t="s">
        <v>908</v>
      </c>
      <c r="D38" s="117"/>
      <c r="E38" s="122" t="s">
        <v>124</v>
      </c>
      <c r="F38" s="52" t="s">
        <v>125</v>
      </c>
      <c r="G38" s="48">
        <f>0.038*0.095*6*I38</f>
        <v>866.4</v>
      </c>
      <c r="H38" s="49">
        <f>G38*1.85</f>
        <v>1602.8400000000001</v>
      </c>
      <c r="I38" s="53">
        <v>40000</v>
      </c>
    </row>
    <row r="39" spans="3:9" s="50" customFormat="1" ht="29.25" customHeight="1" x14ac:dyDescent="0.5">
      <c r="C39" s="356" t="s">
        <v>811</v>
      </c>
      <c r="D39" s="143"/>
      <c r="E39" s="288" t="s">
        <v>812</v>
      </c>
      <c r="F39" s="132" t="s">
        <v>128</v>
      </c>
      <c r="G39" s="134">
        <f>0.047*0.145*1.89*I39</f>
        <v>386.41049999999996</v>
      </c>
      <c r="H39" s="133">
        <f>G39*3.92</f>
        <v>1514.7291599999999</v>
      </c>
      <c r="I39" s="133">
        <v>30000</v>
      </c>
    </row>
    <row r="40" spans="3:9" s="50" customFormat="1" ht="29.25" customHeight="1" thickBot="1" x14ac:dyDescent="0.55000000000000004">
      <c r="C40" s="397" t="s">
        <v>127</v>
      </c>
      <c r="D40" s="379"/>
      <c r="E40" s="398" t="s">
        <v>108</v>
      </c>
      <c r="F40" s="399" t="s">
        <v>128</v>
      </c>
      <c r="G40" s="382">
        <f>0.047*0.145*6*I40</f>
        <v>1635.6</v>
      </c>
      <c r="H40" s="390">
        <f>G40*1.23</f>
        <v>2011.7879999999998</v>
      </c>
      <c r="I40" s="390">
        <v>40000</v>
      </c>
    </row>
    <row r="41" spans="3:9" ht="26.25" thickBot="1" x14ac:dyDescent="0.35">
      <c r="C41" s="744" t="s">
        <v>655</v>
      </c>
      <c r="D41" s="757"/>
      <c r="E41" s="757"/>
      <c r="F41" s="757"/>
      <c r="G41" s="757"/>
      <c r="H41" s="757"/>
      <c r="I41" s="758"/>
    </row>
  </sheetData>
  <mergeCells count="14">
    <mergeCell ref="C4:I4"/>
    <mergeCell ref="C5:I5"/>
    <mergeCell ref="C6:I6"/>
    <mergeCell ref="C7:I7"/>
    <mergeCell ref="C8:I8"/>
    <mergeCell ref="C11:I11"/>
    <mergeCell ref="C13:I13"/>
    <mergeCell ref="C28:I28"/>
    <mergeCell ref="C41:I41"/>
    <mergeCell ref="C9:I9"/>
    <mergeCell ref="C12:I12"/>
    <mergeCell ref="D17:D20"/>
    <mergeCell ref="D21:D22"/>
    <mergeCell ref="D23:D25"/>
  </mergeCells>
  <pageMargins left="0.157" right="0.157" top="0.157" bottom="0.157" header="0.157" footer="0.157"/>
  <pageSetup paperSize="9" scale="4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43"/>
  <sheetViews>
    <sheetView topLeftCell="B1" zoomScale="70" zoomScaleNormal="70" workbookViewId="0">
      <selection activeCell="B10" sqref="B10:H10"/>
    </sheetView>
  </sheetViews>
  <sheetFormatPr defaultColWidth="9.140625" defaultRowHeight="23.25" x14ac:dyDescent="0.35"/>
  <cols>
    <col min="1" max="1" width="18.7109375" style="20" customWidth="1"/>
    <col min="2" max="2" width="37.5703125" style="20" customWidth="1"/>
    <col min="3" max="3" width="27.85546875" style="20" customWidth="1"/>
    <col min="4" max="4" width="17.28515625" style="20" customWidth="1"/>
    <col min="5" max="5" width="25" style="20" customWidth="1"/>
    <col min="6" max="6" width="16.85546875" style="20" customWidth="1"/>
    <col min="7" max="7" width="12.5703125" style="20" customWidth="1"/>
    <col min="8" max="8" width="16.42578125" style="20" customWidth="1"/>
    <col min="9" max="16384" width="9.140625" style="20"/>
  </cols>
  <sheetData>
    <row r="1" spans="2:10" s="2" customFormat="1" ht="18" customHeight="1" x14ac:dyDescent="0.35">
      <c r="B1" s="770" t="s">
        <v>101</v>
      </c>
      <c r="C1" s="770"/>
      <c r="D1" s="770"/>
      <c r="E1" s="770"/>
      <c r="F1" s="770"/>
      <c r="G1" s="770"/>
      <c r="H1" s="19"/>
    </row>
    <row r="2" spans="2:10" s="2" customFormat="1" ht="18" customHeight="1" x14ac:dyDescent="0.3">
      <c r="B2" s="772" t="s">
        <v>1</v>
      </c>
      <c r="C2" s="772"/>
      <c r="D2" s="772"/>
      <c r="E2" s="772"/>
      <c r="F2" s="772"/>
      <c r="G2" s="772"/>
      <c r="H2" s="772"/>
    </row>
    <row r="3" spans="2:10" s="2" customFormat="1" ht="18" customHeight="1" x14ac:dyDescent="0.35">
      <c r="B3" s="770" t="s">
        <v>2</v>
      </c>
      <c r="C3" s="770"/>
      <c r="D3" s="770"/>
      <c r="E3" s="770"/>
      <c r="F3" s="770"/>
      <c r="G3" s="770"/>
      <c r="H3" s="770"/>
    </row>
    <row r="4" spans="2:10" s="2" customFormat="1" ht="18" customHeight="1" x14ac:dyDescent="0.35">
      <c r="B4" s="770" t="s">
        <v>150</v>
      </c>
      <c r="C4" s="770"/>
      <c r="D4" s="770"/>
      <c r="E4" s="770"/>
      <c r="F4" s="770"/>
      <c r="G4" s="770"/>
      <c r="H4" s="770"/>
    </row>
    <row r="5" spans="2:10" s="2" customFormat="1" ht="21" customHeight="1" x14ac:dyDescent="0.35">
      <c r="B5" s="770" t="s">
        <v>1105</v>
      </c>
      <c r="C5" s="770"/>
      <c r="D5" s="770"/>
      <c r="E5" s="770"/>
      <c r="F5" s="770"/>
      <c r="G5" s="770"/>
      <c r="H5" s="770"/>
    </row>
    <row r="6" spans="2:10" s="2" customFormat="1" ht="20.45" customHeight="1" x14ac:dyDescent="0.35">
      <c r="B6" s="770" t="s">
        <v>37</v>
      </c>
      <c r="C6" s="770"/>
      <c r="D6" s="770"/>
      <c r="E6" s="770"/>
      <c r="F6" s="770"/>
      <c r="G6" s="770"/>
      <c r="H6" s="770"/>
    </row>
    <row r="7" spans="2:10" s="2" customFormat="1" ht="25.9" customHeight="1" x14ac:dyDescent="0.4">
      <c r="B7" s="165"/>
      <c r="C7" s="165"/>
      <c r="D7" s="771"/>
      <c r="E7" s="771"/>
      <c r="F7" s="771"/>
      <c r="G7" s="771"/>
      <c r="H7" s="771"/>
      <c r="I7" s="175"/>
      <c r="J7" s="175"/>
    </row>
    <row r="8" spans="2:10" s="2" customFormat="1" ht="24" customHeight="1" x14ac:dyDescent="0.3">
      <c r="B8" s="768" t="s">
        <v>151</v>
      </c>
      <c r="C8" s="768"/>
      <c r="D8" s="768"/>
      <c r="E8" s="768"/>
      <c r="F8" s="768"/>
      <c r="G8" s="768"/>
      <c r="H8" s="768"/>
    </row>
    <row r="9" spans="2:10" s="2" customFormat="1" ht="18" customHeight="1" x14ac:dyDescent="0.3">
      <c r="B9" s="773" t="s">
        <v>1095</v>
      </c>
      <c r="C9" s="773"/>
      <c r="D9" s="773"/>
      <c r="E9" s="773"/>
      <c r="F9" s="773"/>
      <c r="G9" s="773"/>
      <c r="H9" s="773"/>
    </row>
    <row r="10" spans="2:10" s="2" customFormat="1" ht="18.600000000000001" customHeight="1" thickBot="1" x14ac:dyDescent="0.35">
      <c r="B10" s="769" t="s">
        <v>1151</v>
      </c>
      <c r="C10" s="769"/>
      <c r="D10" s="769"/>
      <c r="E10" s="769"/>
      <c r="F10" s="769"/>
      <c r="G10" s="769"/>
      <c r="H10" s="769"/>
    </row>
    <row r="11" spans="2:10" s="2" customFormat="1" ht="58.15" customHeight="1" thickBot="1" x14ac:dyDescent="0.35">
      <c r="B11" s="470" t="s">
        <v>152</v>
      </c>
      <c r="C11" s="466" t="s">
        <v>66</v>
      </c>
      <c r="D11" s="471" t="s">
        <v>67</v>
      </c>
      <c r="E11" s="472" t="s">
        <v>68</v>
      </c>
      <c r="F11" s="471" t="s">
        <v>107</v>
      </c>
      <c r="G11" s="472" t="s">
        <v>153</v>
      </c>
      <c r="H11" s="473" t="s">
        <v>154</v>
      </c>
    </row>
    <row r="12" spans="2:10" s="28" customFormat="1" ht="20.45" customHeight="1" x14ac:dyDescent="0.3">
      <c r="B12" s="291" t="s">
        <v>156</v>
      </c>
      <c r="C12" s="352"/>
      <c r="D12" s="344" t="s">
        <v>100</v>
      </c>
      <c r="E12" s="291" t="s">
        <v>810</v>
      </c>
      <c r="F12" s="292">
        <f>0.016*0.145*3*H12</f>
        <v>174</v>
      </c>
      <c r="G12" s="292">
        <f>F12*6/2.43</f>
        <v>429.62962962962962</v>
      </c>
      <c r="H12" s="293">
        <v>25000</v>
      </c>
    </row>
    <row r="13" spans="2:10" s="28" customFormat="1" ht="20.45" customHeight="1" thickBot="1" x14ac:dyDescent="0.35">
      <c r="B13" s="262" t="s">
        <v>910</v>
      </c>
      <c r="C13" s="346"/>
      <c r="D13" s="343" t="s">
        <v>100</v>
      </c>
      <c r="E13" s="262" t="s">
        <v>711</v>
      </c>
      <c r="F13" s="260">
        <f>0.016*0.145*6*H13</f>
        <v>389.76</v>
      </c>
      <c r="G13" s="260">
        <f>F13*6/4.86</f>
        <v>481.18518518518516</v>
      </c>
      <c r="H13" s="100">
        <v>28000</v>
      </c>
    </row>
    <row r="14" spans="2:10" s="2" customFormat="1" ht="20.45" customHeight="1" x14ac:dyDescent="0.3">
      <c r="B14" s="261" t="s">
        <v>157</v>
      </c>
      <c r="C14" s="342"/>
      <c r="D14" s="40" t="s">
        <v>100</v>
      </c>
      <c r="E14" s="39" t="s">
        <v>684</v>
      </c>
      <c r="F14" s="259">
        <f>0.018*0.145*6*H14</f>
        <v>438.4799999999999</v>
      </c>
      <c r="G14" s="259">
        <f>F14*6/4.97</f>
        <v>529.35211267605621</v>
      </c>
      <c r="H14" s="12">
        <v>28000</v>
      </c>
    </row>
    <row r="15" spans="2:10" s="2" customFormat="1" ht="20.45" customHeight="1" thickBot="1" x14ac:dyDescent="0.35">
      <c r="B15" s="262" t="s">
        <v>693</v>
      </c>
      <c r="C15" s="345"/>
      <c r="D15" s="343" t="s">
        <v>158</v>
      </c>
      <c r="E15" s="262" t="s">
        <v>685</v>
      </c>
      <c r="F15" s="260">
        <f>0.02*0.145*3*H15</f>
        <v>243.6</v>
      </c>
      <c r="G15" s="260">
        <f>F15*5/2.025</f>
        <v>601.48148148148152</v>
      </c>
      <c r="H15" s="100">
        <v>28000</v>
      </c>
    </row>
    <row r="16" spans="2:10" s="28" customFormat="1" ht="20.45" customHeight="1" x14ac:dyDescent="0.3">
      <c r="B16" s="74" t="s">
        <v>159</v>
      </c>
      <c r="C16" s="346"/>
      <c r="D16" s="93" t="s">
        <v>100</v>
      </c>
      <c r="E16" s="74" t="s">
        <v>712</v>
      </c>
      <c r="F16" s="257">
        <f>0.016*0.145*3*H16</f>
        <v>320.16000000000003</v>
      </c>
      <c r="G16" s="257">
        <f>F16*6/2.43</f>
        <v>790.51851851851848</v>
      </c>
      <c r="H16" s="26">
        <v>46000</v>
      </c>
    </row>
    <row r="17" spans="2:8" s="2" customFormat="1" ht="20.45" customHeight="1" x14ac:dyDescent="0.3">
      <c r="B17" s="261" t="s">
        <v>160</v>
      </c>
      <c r="C17" s="346"/>
      <c r="D17" s="140" t="s">
        <v>100</v>
      </c>
      <c r="E17" s="261" t="s">
        <v>687</v>
      </c>
      <c r="F17" s="258">
        <f>0.016*0.145*5*H17</f>
        <v>533.59999999999991</v>
      </c>
      <c r="G17" s="259">
        <f>F17*6/4.05</f>
        <v>790.51851851851836</v>
      </c>
      <c r="H17" s="11">
        <v>46000</v>
      </c>
    </row>
    <row r="18" spans="2:8" s="2" customFormat="1" ht="20.45" customHeight="1" thickBot="1" x14ac:dyDescent="0.35">
      <c r="B18" s="262" t="s">
        <v>161</v>
      </c>
      <c r="C18" s="346"/>
      <c r="D18" s="343" t="s">
        <v>100</v>
      </c>
      <c r="E18" s="262" t="s">
        <v>711</v>
      </c>
      <c r="F18" s="260">
        <f>0.016*0.145*6*H18</f>
        <v>640.32000000000005</v>
      </c>
      <c r="G18" s="260">
        <f>F18*6/4.86</f>
        <v>790.51851851851848</v>
      </c>
      <c r="H18" s="12">
        <v>46000</v>
      </c>
    </row>
    <row r="19" spans="2:8" s="2" customFormat="1" ht="20.45" customHeight="1" x14ac:dyDescent="0.3">
      <c r="B19" s="291" t="s">
        <v>35</v>
      </c>
      <c r="C19" s="347"/>
      <c r="D19" s="344" t="s">
        <v>155</v>
      </c>
      <c r="E19" s="291" t="s">
        <v>702</v>
      </c>
      <c r="F19" s="292">
        <f>0.018*0.096*4*H19</f>
        <v>255.744</v>
      </c>
      <c r="G19" s="292">
        <f>F19*10/3.6</f>
        <v>710.4</v>
      </c>
      <c r="H19" s="293">
        <v>37000</v>
      </c>
    </row>
    <row r="20" spans="2:8" s="2" customFormat="1" ht="20.45" customHeight="1" x14ac:dyDescent="0.3">
      <c r="B20" s="261" t="s">
        <v>162</v>
      </c>
      <c r="C20" s="342"/>
      <c r="D20" s="140" t="s">
        <v>100</v>
      </c>
      <c r="E20" s="261" t="s">
        <v>684</v>
      </c>
      <c r="F20" s="258">
        <f>0.018*0.145*6*H20</f>
        <v>720.3599999999999</v>
      </c>
      <c r="G20" s="258">
        <f>F20*6/4.97</f>
        <v>869.64989939637826</v>
      </c>
      <c r="H20" s="11">
        <v>46000</v>
      </c>
    </row>
    <row r="21" spans="2:8" s="154" customFormat="1" ht="20.45" customHeight="1" x14ac:dyDescent="0.3">
      <c r="B21" s="39" t="s">
        <v>163</v>
      </c>
      <c r="C21" s="346"/>
      <c r="D21" s="40" t="s">
        <v>158</v>
      </c>
      <c r="E21" s="39" t="s">
        <v>685</v>
      </c>
      <c r="F21" s="259">
        <f>0.02*0.145*3*H21</f>
        <v>400.2</v>
      </c>
      <c r="G21" s="259">
        <f>F21*5/2.025</f>
        <v>988.14814814814815</v>
      </c>
      <c r="H21" s="11">
        <v>46000</v>
      </c>
    </row>
    <row r="22" spans="2:8" s="154" customFormat="1" ht="20.45" customHeight="1" x14ac:dyDescent="0.3">
      <c r="B22" s="261" t="s">
        <v>164</v>
      </c>
      <c r="C22" s="346"/>
      <c r="D22" s="140" t="s">
        <v>158</v>
      </c>
      <c r="E22" s="261" t="s">
        <v>686</v>
      </c>
      <c r="F22" s="258">
        <f>0.02*0.145*5*H22</f>
        <v>667</v>
      </c>
      <c r="G22" s="258">
        <f>F22*5/3.375</f>
        <v>988.14814814814815</v>
      </c>
      <c r="H22" s="11">
        <v>46000</v>
      </c>
    </row>
    <row r="23" spans="2:8" s="154" customFormat="1" ht="20.45" customHeight="1" x14ac:dyDescent="0.3">
      <c r="B23" s="261" t="s">
        <v>165</v>
      </c>
      <c r="C23" s="346"/>
      <c r="D23" s="140" t="s">
        <v>158</v>
      </c>
      <c r="E23" s="261" t="s">
        <v>687</v>
      </c>
      <c r="F23" s="258">
        <f>0.02*0.145*6*H23</f>
        <v>800.4</v>
      </c>
      <c r="G23" s="258">
        <f>F23*5/4.05</f>
        <v>988.14814814814815</v>
      </c>
      <c r="H23" s="11">
        <v>46000</v>
      </c>
    </row>
    <row r="24" spans="2:8" s="2" customFormat="1" ht="20.45" customHeight="1" x14ac:dyDescent="0.3">
      <c r="B24" s="39" t="s">
        <v>167</v>
      </c>
      <c r="C24" s="342"/>
      <c r="D24" s="40" t="s">
        <v>168</v>
      </c>
      <c r="E24" s="39" t="s">
        <v>688</v>
      </c>
      <c r="F24" s="258">
        <f>0.02*0.19*3*H24</f>
        <v>524.4</v>
      </c>
      <c r="G24" s="258">
        <f>F24*3/1.62</f>
        <v>971.11111111111097</v>
      </c>
      <c r="H24" s="11">
        <v>46000</v>
      </c>
    </row>
    <row r="25" spans="2:8" s="2" customFormat="1" ht="20.45" customHeight="1" x14ac:dyDescent="0.3">
      <c r="B25" s="261" t="s">
        <v>169</v>
      </c>
      <c r="C25" s="342"/>
      <c r="D25" s="140" t="s">
        <v>168</v>
      </c>
      <c r="E25" s="261" t="s">
        <v>689</v>
      </c>
      <c r="F25" s="258">
        <f>0.02*0.19*4*H25</f>
        <v>699.2</v>
      </c>
      <c r="G25" s="258">
        <f>F25*3/2.16</f>
        <v>971.1111111111112</v>
      </c>
      <c r="H25" s="11">
        <v>46000</v>
      </c>
    </row>
    <row r="26" spans="2:8" s="2" customFormat="1" ht="20.45" customHeight="1" x14ac:dyDescent="0.3">
      <c r="B26" s="261" t="s">
        <v>170</v>
      </c>
      <c r="C26" s="342"/>
      <c r="D26" s="140" t="s">
        <v>168</v>
      </c>
      <c r="E26" s="261" t="s">
        <v>690</v>
      </c>
      <c r="F26" s="258">
        <f>0.02*0.19*5*H26</f>
        <v>874</v>
      </c>
      <c r="G26" s="258">
        <f>F26*3/2.7</f>
        <v>971.11111111111109</v>
      </c>
      <c r="H26" s="11">
        <v>46000</v>
      </c>
    </row>
    <row r="27" spans="2:8" s="2" customFormat="1" ht="20.45" customHeight="1" x14ac:dyDescent="0.3">
      <c r="B27" s="474" t="s">
        <v>171</v>
      </c>
      <c r="C27" s="342"/>
      <c r="D27" s="475" t="s">
        <v>168</v>
      </c>
      <c r="E27" s="474" t="s">
        <v>691</v>
      </c>
      <c r="F27" s="476">
        <f>0.02*0.19*6*H27</f>
        <v>1048.8</v>
      </c>
      <c r="G27" s="476">
        <f>F27*3/3.24</f>
        <v>971.11111111111097</v>
      </c>
      <c r="H27" s="11">
        <v>46000</v>
      </c>
    </row>
    <row r="28" spans="2:8" s="2" customFormat="1" ht="20.45" customHeight="1" x14ac:dyDescent="0.3">
      <c r="B28" s="348" t="s">
        <v>694</v>
      </c>
      <c r="C28" s="347"/>
      <c r="D28" s="349" t="s">
        <v>166</v>
      </c>
      <c r="E28" s="348" t="s">
        <v>807</v>
      </c>
      <c r="F28" s="350">
        <f>0.021*0.146*5*H28</f>
        <v>536.54999999999995</v>
      </c>
      <c r="G28" s="350">
        <f>F28*4/2.8</f>
        <v>766.5</v>
      </c>
      <c r="H28" s="173">
        <v>35000</v>
      </c>
    </row>
    <row r="29" spans="2:8" s="2" customFormat="1" ht="20.45" customHeight="1" thickBot="1" x14ac:dyDescent="0.35">
      <c r="B29" s="477" t="s">
        <v>808</v>
      </c>
      <c r="C29" s="351"/>
      <c r="D29" s="478" t="s">
        <v>166</v>
      </c>
      <c r="E29" s="477" t="s">
        <v>809</v>
      </c>
      <c r="F29" s="479">
        <f>0.021*0.146*5.5*H29</f>
        <v>590.20499999999993</v>
      </c>
      <c r="G29" s="479">
        <f>F29*4/3.08</f>
        <v>766.49999999999989</v>
      </c>
      <c r="H29" s="480">
        <v>35000</v>
      </c>
    </row>
    <row r="30" spans="2:8" ht="13.9" customHeight="1" thickBot="1" x14ac:dyDescent="0.4">
      <c r="B30" s="765" t="s">
        <v>655</v>
      </c>
      <c r="C30" s="766"/>
      <c r="D30" s="766"/>
      <c r="E30" s="766"/>
      <c r="F30" s="766"/>
      <c r="G30" s="766"/>
      <c r="H30" s="767"/>
    </row>
    <row r="31" spans="2:8" x14ac:dyDescent="0.35">
      <c r="B31" s="21"/>
      <c r="C31" s="21"/>
      <c r="D31" s="21"/>
      <c r="E31" s="21"/>
      <c r="F31" s="21"/>
      <c r="G31" s="21"/>
    </row>
    <row r="32" spans="2:8" x14ac:dyDescent="0.35">
      <c r="B32" s="21"/>
      <c r="C32" s="21"/>
      <c r="D32" s="21"/>
      <c r="E32" s="21"/>
      <c r="F32" s="21"/>
      <c r="G32" s="21"/>
    </row>
    <row r="33" spans="2:7" x14ac:dyDescent="0.35">
      <c r="B33" s="21"/>
      <c r="C33" s="21"/>
      <c r="D33" s="21"/>
      <c r="E33" s="21"/>
      <c r="F33" s="21"/>
      <c r="G33" s="21"/>
    </row>
    <row r="34" spans="2:7" x14ac:dyDescent="0.35">
      <c r="B34" s="21"/>
      <c r="C34" s="21"/>
      <c r="D34" s="21"/>
      <c r="E34" s="21"/>
      <c r="F34" s="21"/>
      <c r="G34" s="19"/>
    </row>
    <row r="35" spans="2:7" x14ac:dyDescent="0.35">
      <c r="B35" s="19"/>
      <c r="C35" s="19"/>
      <c r="D35" s="19"/>
      <c r="E35" s="19"/>
      <c r="F35" s="19"/>
      <c r="G35" s="19"/>
    </row>
    <row r="36" spans="2:7" x14ac:dyDescent="0.35">
      <c r="B36" s="19"/>
      <c r="C36" s="19"/>
      <c r="D36" s="19"/>
      <c r="E36" s="19"/>
      <c r="F36" s="19"/>
      <c r="G36" s="19"/>
    </row>
    <row r="37" spans="2:7" x14ac:dyDescent="0.35">
      <c r="B37" s="19"/>
      <c r="C37" s="19"/>
      <c r="D37" s="19"/>
      <c r="E37" s="19"/>
      <c r="F37" s="19"/>
      <c r="G37" s="19"/>
    </row>
    <row r="38" spans="2:7" x14ac:dyDescent="0.35">
      <c r="B38" s="19"/>
      <c r="C38" s="19"/>
      <c r="D38" s="19"/>
      <c r="E38" s="19"/>
      <c r="F38" s="19"/>
      <c r="G38" s="19"/>
    </row>
    <row r="39" spans="2:7" x14ac:dyDescent="0.35">
      <c r="B39" s="19"/>
      <c r="C39" s="19"/>
      <c r="D39" s="19"/>
      <c r="E39" s="19"/>
      <c r="F39" s="19"/>
      <c r="G39" s="19"/>
    </row>
    <row r="40" spans="2:7" x14ac:dyDescent="0.35">
      <c r="B40" s="19"/>
      <c r="C40" s="19"/>
      <c r="D40" s="19"/>
      <c r="E40" s="19"/>
      <c r="F40" s="19"/>
      <c r="G40" s="19"/>
    </row>
    <row r="41" spans="2:7" x14ac:dyDescent="0.35">
      <c r="B41" s="19"/>
      <c r="C41" s="19"/>
      <c r="D41" s="19"/>
      <c r="E41" s="19"/>
      <c r="F41" s="19"/>
      <c r="G41" s="19"/>
    </row>
    <row r="42" spans="2:7" x14ac:dyDescent="0.35">
      <c r="B42" s="19"/>
      <c r="C42" s="19"/>
      <c r="D42" s="19"/>
      <c r="E42" s="19"/>
      <c r="F42" s="19"/>
      <c r="G42" s="19"/>
    </row>
    <row r="43" spans="2:7" x14ac:dyDescent="0.35">
      <c r="B43" s="19"/>
      <c r="C43" s="19"/>
      <c r="D43" s="19"/>
      <c r="E43" s="19"/>
      <c r="F43" s="19"/>
      <c r="G43" s="19"/>
    </row>
  </sheetData>
  <mergeCells count="11">
    <mergeCell ref="B30:H30"/>
    <mergeCell ref="B8:H8"/>
    <mergeCell ref="B10:H10"/>
    <mergeCell ref="B1:G1"/>
    <mergeCell ref="D7:H7"/>
    <mergeCell ref="B6:H6"/>
    <mergeCell ref="B5:H5"/>
    <mergeCell ref="B4:H4"/>
    <mergeCell ref="B3:H3"/>
    <mergeCell ref="B2:H2"/>
    <mergeCell ref="B9:H9"/>
  </mergeCells>
  <pageMargins left="0.315" right="0.157" top="0.157" bottom="0.157" header="0.157" footer="0.157"/>
  <pageSetup paperSize="9" scale="8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58"/>
  <sheetViews>
    <sheetView zoomScaleNormal="100" workbookViewId="0">
      <selection activeCell="A6" sqref="A6:C6"/>
    </sheetView>
  </sheetViews>
  <sheetFormatPr defaultColWidth="9.140625" defaultRowHeight="18.75" x14ac:dyDescent="0.3"/>
  <cols>
    <col min="1" max="1" width="54.140625" style="307" customWidth="1"/>
    <col min="2" max="2" width="55.28515625" style="307" customWidth="1"/>
    <col min="3" max="3" width="16.42578125" style="307" customWidth="1"/>
    <col min="4" max="16384" width="9.140625" style="307"/>
  </cols>
  <sheetData>
    <row r="1" spans="1:3" ht="16.5" customHeight="1" x14ac:dyDescent="0.3">
      <c r="A1" s="776" t="s">
        <v>0</v>
      </c>
      <c r="B1" s="776"/>
      <c r="C1" s="776"/>
    </row>
    <row r="2" spans="1:3" ht="16.5" customHeight="1" x14ac:dyDescent="0.3">
      <c r="A2" s="776" t="s">
        <v>1</v>
      </c>
      <c r="B2" s="776"/>
      <c r="C2" s="776"/>
    </row>
    <row r="3" spans="1:3" ht="16.5" customHeight="1" x14ac:dyDescent="0.3">
      <c r="A3" s="776" t="s">
        <v>102</v>
      </c>
      <c r="B3" s="776"/>
      <c r="C3" s="776"/>
    </row>
    <row r="4" spans="1:3" ht="16.5" customHeight="1" x14ac:dyDescent="0.3">
      <c r="A4" s="776" t="s">
        <v>194</v>
      </c>
      <c r="B4" s="776"/>
      <c r="C4" s="776"/>
    </row>
    <row r="5" spans="1:3" ht="16.5" customHeight="1" x14ac:dyDescent="0.3">
      <c r="A5" s="776" t="s">
        <v>1105</v>
      </c>
      <c r="B5" s="776"/>
      <c r="C5" s="776"/>
    </row>
    <row r="6" spans="1:3" ht="16.5" customHeight="1" x14ac:dyDescent="0.3">
      <c r="A6" s="776" t="s">
        <v>37</v>
      </c>
      <c r="B6" s="776"/>
      <c r="C6" s="776"/>
    </row>
    <row r="7" spans="1:3" ht="18.75" customHeight="1" x14ac:dyDescent="0.3">
      <c r="A7" s="749" t="s">
        <v>289</v>
      </c>
      <c r="B7" s="749"/>
      <c r="C7" s="749"/>
    </row>
    <row r="8" spans="1:3" ht="17.25" customHeight="1" x14ac:dyDescent="0.3">
      <c r="A8" s="778" t="s">
        <v>1095</v>
      </c>
      <c r="B8" s="778"/>
      <c r="C8" s="778"/>
    </row>
    <row r="9" spans="1:3" ht="15" customHeight="1" thickBot="1" x14ac:dyDescent="0.35">
      <c r="A9" s="777" t="s">
        <v>1096</v>
      </c>
      <c r="B9" s="777"/>
      <c r="C9" s="777"/>
    </row>
    <row r="10" spans="1:3" ht="21" customHeight="1" thickBot="1" x14ac:dyDescent="0.35">
      <c r="A10" s="600" t="s">
        <v>668</v>
      </c>
      <c r="B10" s="600" t="s">
        <v>66</v>
      </c>
      <c r="C10" s="601" t="s">
        <v>1016</v>
      </c>
    </row>
    <row r="11" spans="1:3" ht="18" customHeight="1" x14ac:dyDescent="0.3">
      <c r="A11" s="598" t="s">
        <v>734</v>
      </c>
      <c r="B11" s="774"/>
      <c r="C11" s="599">
        <v>1300</v>
      </c>
    </row>
    <row r="12" spans="1:3" ht="18" customHeight="1" x14ac:dyDescent="0.3">
      <c r="A12" s="594" t="s">
        <v>735</v>
      </c>
      <c r="B12" s="774"/>
      <c r="C12" s="596">
        <v>1550</v>
      </c>
    </row>
    <row r="13" spans="1:3" ht="18" customHeight="1" x14ac:dyDescent="0.3">
      <c r="A13" s="594" t="s">
        <v>736</v>
      </c>
      <c r="B13" s="774"/>
      <c r="C13" s="596">
        <v>540</v>
      </c>
    </row>
    <row r="14" spans="1:3" ht="18" customHeight="1" x14ac:dyDescent="0.3">
      <c r="A14" s="594" t="s">
        <v>737</v>
      </c>
      <c r="B14" s="774"/>
      <c r="C14" s="596">
        <v>420</v>
      </c>
    </row>
    <row r="15" spans="1:3" ht="18" customHeight="1" x14ac:dyDescent="0.3">
      <c r="A15" s="594" t="s">
        <v>738</v>
      </c>
      <c r="B15" s="774"/>
      <c r="C15" s="596">
        <v>420</v>
      </c>
    </row>
    <row r="16" spans="1:3" ht="18" customHeight="1" x14ac:dyDescent="0.3">
      <c r="A16" s="594" t="s">
        <v>739</v>
      </c>
      <c r="B16" s="774"/>
      <c r="C16" s="596">
        <v>495</v>
      </c>
    </row>
    <row r="17" spans="1:3" ht="18" customHeight="1" x14ac:dyDescent="0.3">
      <c r="A17" s="594" t="s">
        <v>740</v>
      </c>
      <c r="B17" s="774"/>
      <c r="C17" s="596">
        <v>5500</v>
      </c>
    </row>
    <row r="18" spans="1:3" ht="18" customHeight="1" x14ac:dyDescent="0.3">
      <c r="A18" s="594" t="s">
        <v>741</v>
      </c>
      <c r="B18" s="774"/>
      <c r="C18" s="596">
        <v>5000</v>
      </c>
    </row>
    <row r="19" spans="1:3" ht="18" customHeight="1" x14ac:dyDescent="0.3">
      <c r="A19" s="594" t="s">
        <v>742</v>
      </c>
      <c r="B19" s="774"/>
      <c r="C19" s="596">
        <v>180</v>
      </c>
    </row>
    <row r="20" spans="1:3" ht="18" customHeight="1" x14ac:dyDescent="0.3">
      <c r="A20" s="594" t="s">
        <v>743</v>
      </c>
      <c r="B20" s="774"/>
      <c r="C20" s="596">
        <v>150</v>
      </c>
    </row>
    <row r="21" spans="1:3" ht="18" customHeight="1" x14ac:dyDescent="0.3">
      <c r="A21" s="594" t="s">
        <v>744</v>
      </c>
      <c r="B21" s="774"/>
      <c r="C21" s="596">
        <v>1200</v>
      </c>
    </row>
    <row r="22" spans="1:3" ht="18" customHeight="1" x14ac:dyDescent="0.3">
      <c r="A22" s="594" t="s">
        <v>745</v>
      </c>
      <c r="B22" s="774"/>
      <c r="C22" s="596">
        <v>1500</v>
      </c>
    </row>
    <row r="23" spans="1:3" ht="18" customHeight="1" x14ac:dyDescent="0.3">
      <c r="A23" s="594" t="s">
        <v>746</v>
      </c>
      <c r="B23" s="774"/>
      <c r="C23" s="596">
        <v>1500</v>
      </c>
    </row>
    <row r="24" spans="1:3" ht="18" customHeight="1" x14ac:dyDescent="0.3">
      <c r="A24" s="594" t="s">
        <v>747</v>
      </c>
      <c r="B24" s="774"/>
      <c r="C24" s="596">
        <v>1800</v>
      </c>
    </row>
    <row r="25" spans="1:3" ht="18" customHeight="1" x14ac:dyDescent="0.3">
      <c r="A25" s="594" t="s">
        <v>748</v>
      </c>
      <c r="B25" s="774"/>
      <c r="C25" s="596">
        <v>855</v>
      </c>
    </row>
    <row r="26" spans="1:3" ht="18" customHeight="1" x14ac:dyDescent="0.3">
      <c r="A26" s="594" t="s">
        <v>749</v>
      </c>
      <c r="B26" s="774"/>
      <c r="C26" s="596">
        <v>990</v>
      </c>
    </row>
    <row r="27" spans="1:3" ht="18" customHeight="1" x14ac:dyDescent="0.3">
      <c r="A27" s="594" t="s">
        <v>750</v>
      </c>
      <c r="B27" s="774"/>
      <c r="C27" s="596">
        <v>1300</v>
      </c>
    </row>
    <row r="28" spans="1:3" ht="18" customHeight="1" x14ac:dyDescent="0.3">
      <c r="A28" s="594" t="s">
        <v>751</v>
      </c>
      <c r="B28" s="774"/>
      <c r="C28" s="596">
        <v>480</v>
      </c>
    </row>
    <row r="29" spans="1:3" ht="18" customHeight="1" x14ac:dyDescent="0.3">
      <c r="A29" s="594" t="s">
        <v>752</v>
      </c>
      <c r="B29" s="774"/>
      <c r="C29" s="596">
        <v>400</v>
      </c>
    </row>
    <row r="30" spans="1:3" ht="18" customHeight="1" x14ac:dyDescent="0.3">
      <c r="A30" s="594" t="s">
        <v>753</v>
      </c>
      <c r="B30" s="774"/>
      <c r="C30" s="596">
        <v>165</v>
      </c>
    </row>
    <row r="31" spans="1:3" ht="18" customHeight="1" x14ac:dyDescent="0.3">
      <c r="A31" s="594" t="s">
        <v>754</v>
      </c>
      <c r="B31" s="774"/>
      <c r="C31" s="596">
        <v>160</v>
      </c>
    </row>
    <row r="32" spans="1:3" ht="18" customHeight="1" x14ac:dyDescent="0.3">
      <c r="A32" s="594" t="s">
        <v>755</v>
      </c>
      <c r="B32" s="774"/>
      <c r="C32" s="596">
        <v>210</v>
      </c>
    </row>
    <row r="33" spans="1:3" ht="18" customHeight="1" x14ac:dyDescent="0.3">
      <c r="A33" s="594" t="s">
        <v>756</v>
      </c>
      <c r="B33" s="774"/>
      <c r="C33" s="596">
        <v>330</v>
      </c>
    </row>
    <row r="34" spans="1:3" ht="18" customHeight="1" x14ac:dyDescent="0.3">
      <c r="A34" s="594" t="s">
        <v>757</v>
      </c>
      <c r="B34" s="774"/>
      <c r="C34" s="596">
        <v>465</v>
      </c>
    </row>
    <row r="35" spans="1:3" ht="18" customHeight="1" x14ac:dyDescent="0.3">
      <c r="A35" s="594" t="s">
        <v>758</v>
      </c>
      <c r="B35" s="774"/>
      <c r="C35" s="596">
        <v>330</v>
      </c>
    </row>
    <row r="36" spans="1:3" ht="18" customHeight="1" x14ac:dyDescent="0.3">
      <c r="A36" s="594" t="s">
        <v>759</v>
      </c>
      <c r="B36" s="774"/>
      <c r="C36" s="596">
        <v>1950</v>
      </c>
    </row>
    <row r="37" spans="1:3" ht="18" customHeight="1" x14ac:dyDescent="0.3">
      <c r="A37" s="594" t="s">
        <v>760</v>
      </c>
      <c r="B37" s="774"/>
      <c r="C37" s="596">
        <v>2700</v>
      </c>
    </row>
    <row r="38" spans="1:3" ht="18" customHeight="1" x14ac:dyDescent="0.3">
      <c r="A38" s="594" t="s">
        <v>761</v>
      </c>
      <c r="B38" s="774"/>
      <c r="C38" s="596">
        <v>3000</v>
      </c>
    </row>
    <row r="39" spans="1:3" ht="18" customHeight="1" x14ac:dyDescent="0.3">
      <c r="A39" s="594" t="s">
        <v>762</v>
      </c>
      <c r="B39" s="774"/>
      <c r="C39" s="596">
        <v>150</v>
      </c>
    </row>
    <row r="40" spans="1:3" ht="18" customHeight="1" x14ac:dyDescent="0.3">
      <c r="A40" s="594" t="s">
        <v>763</v>
      </c>
      <c r="B40" s="774"/>
      <c r="C40" s="596">
        <v>135</v>
      </c>
    </row>
    <row r="41" spans="1:3" ht="18" customHeight="1" x14ac:dyDescent="0.3">
      <c r="A41" s="594" t="s">
        <v>764</v>
      </c>
      <c r="B41" s="774"/>
      <c r="C41" s="596">
        <v>660</v>
      </c>
    </row>
    <row r="42" spans="1:3" ht="18" customHeight="1" x14ac:dyDescent="0.3">
      <c r="A42" s="594" t="s">
        <v>765</v>
      </c>
      <c r="B42" s="774"/>
      <c r="C42" s="596">
        <v>450</v>
      </c>
    </row>
    <row r="43" spans="1:3" ht="18" customHeight="1" x14ac:dyDescent="0.3">
      <c r="A43" s="594" t="s">
        <v>766</v>
      </c>
      <c r="B43" s="774"/>
      <c r="C43" s="596">
        <v>390</v>
      </c>
    </row>
    <row r="44" spans="1:3" ht="18" customHeight="1" x14ac:dyDescent="0.3">
      <c r="A44" s="594" t="s">
        <v>767</v>
      </c>
      <c r="B44" s="774"/>
      <c r="C44" s="596">
        <v>1950</v>
      </c>
    </row>
    <row r="45" spans="1:3" ht="18" customHeight="1" x14ac:dyDescent="0.3">
      <c r="A45" s="594" t="s">
        <v>768</v>
      </c>
      <c r="B45" s="774"/>
      <c r="C45" s="596">
        <v>2310</v>
      </c>
    </row>
    <row r="46" spans="1:3" ht="18" customHeight="1" x14ac:dyDescent="0.3">
      <c r="A46" s="594" t="s">
        <v>769</v>
      </c>
      <c r="B46" s="774"/>
      <c r="C46" s="596">
        <v>3375</v>
      </c>
    </row>
    <row r="47" spans="1:3" ht="18" customHeight="1" x14ac:dyDescent="0.3">
      <c r="A47" s="594" t="s">
        <v>770</v>
      </c>
      <c r="B47" s="774"/>
      <c r="C47" s="596">
        <v>3150</v>
      </c>
    </row>
    <row r="48" spans="1:3" ht="18" customHeight="1" x14ac:dyDescent="0.3">
      <c r="A48" s="594" t="s">
        <v>771</v>
      </c>
      <c r="B48" s="774"/>
      <c r="C48" s="596">
        <v>1800</v>
      </c>
    </row>
    <row r="49" spans="1:3" ht="18" customHeight="1" x14ac:dyDescent="0.3">
      <c r="A49" s="594" t="s">
        <v>772</v>
      </c>
      <c r="B49" s="774"/>
      <c r="C49" s="596">
        <v>6000</v>
      </c>
    </row>
    <row r="50" spans="1:3" ht="18" customHeight="1" x14ac:dyDescent="0.3">
      <c r="A50" s="594" t="s">
        <v>773</v>
      </c>
      <c r="B50" s="774"/>
      <c r="C50" s="596">
        <v>7050</v>
      </c>
    </row>
    <row r="51" spans="1:3" ht="18" customHeight="1" x14ac:dyDescent="0.3">
      <c r="A51" s="594" t="s">
        <v>774</v>
      </c>
      <c r="B51" s="774"/>
      <c r="C51" s="596">
        <v>555</v>
      </c>
    </row>
    <row r="52" spans="1:3" ht="18" customHeight="1" x14ac:dyDescent="0.3">
      <c r="A52" s="594" t="s">
        <v>775</v>
      </c>
      <c r="B52" s="774"/>
      <c r="C52" s="596">
        <v>480</v>
      </c>
    </row>
    <row r="53" spans="1:3" ht="18" customHeight="1" x14ac:dyDescent="0.3">
      <c r="A53" s="594" t="s">
        <v>776</v>
      </c>
      <c r="B53" s="774"/>
      <c r="C53" s="596">
        <v>450</v>
      </c>
    </row>
    <row r="54" spans="1:3" ht="18" customHeight="1" x14ac:dyDescent="0.3">
      <c r="A54" s="594" t="s">
        <v>777</v>
      </c>
      <c r="B54" s="774"/>
      <c r="C54" s="596">
        <v>555</v>
      </c>
    </row>
    <row r="55" spans="1:3" ht="18" customHeight="1" x14ac:dyDescent="0.3">
      <c r="A55" s="594" t="s">
        <v>778</v>
      </c>
      <c r="B55" s="774"/>
      <c r="C55" s="596">
        <v>270</v>
      </c>
    </row>
    <row r="56" spans="1:3" ht="18" customHeight="1" x14ac:dyDescent="0.3">
      <c r="A56" s="594" t="s">
        <v>779</v>
      </c>
      <c r="B56" s="774"/>
      <c r="C56" s="596">
        <v>525</v>
      </c>
    </row>
    <row r="57" spans="1:3" ht="18" customHeight="1" x14ac:dyDescent="0.3">
      <c r="A57" s="594" t="s">
        <v>780</v>
      </c>
      <c r="B57" s="774"/>
      <c r="C57" s="596">
        <v>1020</v>
      </c>
    </row>
    <row r="58" spans="1:3" ht="18" customHeight="1" thickBot="1" x14ac:dyDescent="0.35">
      <c r="A58" s="595" t="s">
        <v>781</v>
      </c>
      <c r="B58" s="775"/>
      <c r="C58" s="597">
        <v>630</v>
      </c>
    </row>
  </sheetData>
  <mergeCells count="10">
    <mergeCell ref="A7:C7"/>
    <mergeCell ref="B11:B58"/>
    <mergeCell ref="A1:C1"/>
    <mergeCell ref="A2:C2"/>
    <mergeCell ref="A3:C3"/>
    <mergeCell ref="A4:C4"/>
    <mergeCell ref="A5:C5"/>
    <mergeCell ref="A6:C6"/>
    <mergeCell ref="A9:C9"/>
    <mergeCell ref="A8:C8"/>
  </mergeCells>
  <pageMargins left="0.3" right="0.22" top="0.26" bottom="0.23" header="0.17" footer="0.19"/>
  <pageSetup paperSize="9" scale="8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52"/>
  <sheetViews>
    <sheetView topLeftCell="A7" zoomScale="85" zoomScaleNormal="85" workbookViewId="0">
      <selection activeCell="B10" sqref="B10:D10"/>
    </sheetView>
  </sheetViews>
  <sheetFormatPr defaultColWidth="9.140625" defaultRowHeight="20.25" x14ac:dyDescent="0.2"/>
  <cols>
    <col min="1" max="1" width="16.140625" style="24" customWidth="1"/>
    <col min="2" max="2" width="43.140625" style="80" customWidth="1"/>
    <col min="3" max="3" width="36.7109375" style="14" customWidth="1"/>
    <col min="4" max="4" width="13" style="24" customWidth="1"/>
    <col min="5" max="5" width="23.42578125" style="24" customWidth="1"/>
    <col min="6" max="6" width="18.42578125" style="24" customWidth="1"/>
    <col min="7" max="7" width="28" style="24" customWidth="1"/>
    <col min="8" max="16384" width="9.140625" style="24"/>
  </cols>
  <sheetData>
    <row r="1" spans="2:7" s="6" customFormat="1" ht="15" customHeight="1" x14ac:dyDescent="0.3">
      <c r="B1" s="774" t="s">
        <v>101</v>
      </c>
      <c r="C1" s="774"/>
      <c r="D1" s="774"/>
    </row>
    <row r="2" spans="2:7" s="6" customFormat="1" ht="15" customHeight="1" x14ac:dyDescent="0.3">
      <c r="B2" s="774" t="s">
        <v>1</v>
      </c>
      <c r="C2" s="774"/>
      <c r="D2" s="774"/>
    </row>
    <row r="3" spans="2:7" s="6" customFormat="1" ht="15" customHeight="1" x14ac:dyDescent="0.3">
      <c r="B3" s="774" t="s">
        <v>2</v>
      </c>
      <c r="C3" s="774"/>
      <c r="D3" s="774"/>
    </row>
    <row r="4" spans="2:7" s="6" customFormat="1" ht="15" customHeight="1" x14ac:dyDescent="0.3">
      <c r="B4" s="774" t="s">
        <v>194</v>
      </c>
      <c r="C4" s="774"/>
      <c r="D4" s="774"/>
      <c r="G4" s="7"/>
    </row>
    <row r="5" spans="2:7" s="6" customFormat="1" ht="15" customHeight="1" x14ac:dyDescent="0.3">
      <c r="B5" s="774" t="s">
        <v>1105</v>
      </c>
      <c r="C5" s="774"/>
      <c r="D5" s="774"/>
      <c r="G5" s="7"/>
    </row>
    <row r="6" spans="2:7" s="6" customFormat="1" ht="15" customHeight="1" x14ac:dyDescent="0.3">
      <c r="B6" s="774" t="s">
        <v>37</v>
      </c>
      <c r="C6" s="774"/>
      <c r="D6" s="774"/>
      <c r="E6" s="10"/>
    </row>
    <row r="7" spans="2:7" s="6" customFormat="1" ht="18.600000000000001" customHeight="1" x14ac:dyDescent="0.3">
      <c r="B7" s="792"/>
      <c r="C7" s="792"/>
      <c r="D7" s="166"/>
      <c r="E7" s="10"/>
    </row>
    <row r="8" spans="2:7" ht="25.9" customHeight="1" x14ac:dyDescent="0.2">
      <c r="B8" s="749" t="s">
        <v>289</v>
      </c>
      <c r="C8" s="749"/>
      <c r="D8" s="749"/>
      <c r="E8" s="38"/>
    </row>
    <row r="9" spans="2:7" ht="16.899999999999999" customHeight="1" x14ac:dyDescent="0.2">
      <c r="B9" s="778" t="s">
        <v>1095</v>
      </c>
      <c r="C9" s="778"/>
      <c r="D9" s="778"/>
      <c r="E9" s="281"/>
    </row>
    <row r="10" spans="2:7" ht="15" customHeight="1" thickBot="1" x14ac:dyDescent="0.25">
      <c r="B10" s="788" t="s">
        <v>1151</v>
      </c>
      <c r="C10" s="788"/>
      <c r="D10" s="788"/>
      <c r="E10" s="38"/>
    </row>
    <row r="11" spans="2:7" ht="22.15" customHeight="1" thickBot="1" x14ac:dyDescent="0.25">
      <c r="B11" s="466" t="s">
        <v>5</v>
      </c>
      <c r="C11" s="466" t="s">
        <v>172</v>
      </c>
      <c r="D11" s="486" t="s">
        <v>290</v>
      </c>
    </row>
    <row r="12" spans="2:7" ht="19.5" customHeight="1" thickBot="1" x14ac:dyDescent="0.25">
      <c r="B12" s="789" t="s">
        <v>291</v>
      </c>
      <c r="C12" s="790"/>
      <c r="D12" s="791"/>
    </row>
    <row r="13" spans="2:7" ht="19.5" customHeight="1" x14ac:dyDescent="0.2">
      <c r="B13" s="81" t="s">
        <v>292</v>
      </c>
      <c r="C13" s="24"/>
      <c r="D13" s="26">
        <v>2857</v>
      </c>
    </row>
    <row r="14" spans="2:7" ht="19.5" customHeight="1" x14ac:dyDescent="0.2">
      <c r="B14" s="84" t="s">
        <v>293</v>
      </c>
      <c r="C14" s="24"/>
      <c r="D14" s="11">
        <v>3000</v>
      </c>
    </row>
    <row r="15" spans="2:7" ht="19.5" customHeight="1" x14ac:dyDescent="0.2">
      <c r="B15" s="84" t="s">
        <v>294</v>
      </c>
      <c r="C15" s="24"/>
      <c r="D15" s="11">
        <v>3143</v>
      </c>
    </row>
    <row r="16" spans="2:7" ht="19.5" customHeight="1" x14ac:dyDescent="0.2">
      <c r="B16" s="84" t="s">
        <v>295</v>
      </c>
      <c r="C16" s="24"/>
      <c r="D16" s="11">
        <v>3286</v>
      </c>
    </row>
    <row r="17" spans="2:6" ht="19.5" customHeight="1" x14ac:dyDescent="0.2">
      <c r="B17" s="84" t="s">
        <v>296</v>
      </c>
      <c r="C17" s="24"/>
      <c r="D17" s="11">
        <v>3429</v>
      </c>
    </row>
    <row r="18" spans="2:6" ht="19.5" customHeight="1" x14ac:dyDescent="0.2">
      <c r="B18" s="84" t="s">
        <v>297</v>
      </c>
      <c r="C18" s="24"/>
      <c r="D18" s="11">
        <v>3572</v>
      </c>
    </row>
    <row r="19" spans="2:6" s="78" customFormat="1" ht="19.5" customHeight="1" x14ac:dyDescent="0.2">
      <c r="B19" s="84" t="s">
        <v>298</v>
      </c>
      <c r="C19" s="24"/>
      <c r="D19" s="11">
        <v>3857</v>
      </c>
      <c r="F19" s="24"/>
    </row>
    <row r="20" spans="2:6" s="78" customFormat="1" ht="19.5" customHeight="1" x14ac:dyDescent="0.2">
      <c r="B20" s="84" t="s">
        <v>299</v>
      </c>
      <c r="C20" s="24"/>
      <c r="D20" s="11">
        <v>4286</v>
      </c>
      <c r="F20" s="24"/>
    </row>
    <row r="21" spans="2:6" s="78" customFormat="1" ht="18" customHeight="1" x14ac:dyDescent="0.2">
      <c r="B21" s="84" t="s">
        <v>300</v>
      </c>
      <c r="C21" s="24"/>
      <c r="D21" s="11" t="s">
        <v>1097</v>
      </c>
      <c r="E21" s="24"/>
      <c r="F21" s="24"/>
    </row>
    <row r="22" spans="2:6" s="78" customFormat="1" ht="19.5" customHeight="1" x14ac:dyDescent="0.2">
      <c r="B22" s="84" t="s">
        <v>301</v>
      </c>
      <c r="C22" s="24"/>
      <c r="D22" s="11" t="s">
        <v>1098</v>
      </c>
      <c r="E22" s="24"/>
      <c r="F22" s="24"/>
    </row>
    <row r="23" spans="2:6" s="78" customFormat="1" ht="19.5" customHeight="1" x14ac:dyDescent="0.2">
      <c r="B23" s="84" t="s">
        <v>302</v>
      </c>
      <c r="C23" s="24"/>
      <c r="D23" s="11" t="s">
        <v>1099</v>
      </c>
      <c r="E23" s="24"/>
      <c r="F23" s="24"/>
    </row>
    <row r="24" spans="2:6" s="78" customFormat="1" ht="19.5" customHeight="1" x14ac:dyDescent="0.2">
      <c r="B24" s="84" t="s">
        <v>303</v>
      </c>
      <c r="C24" s="24"/>
      <c r="D24" s="11" t="s">
        <v>1100</v>
      </c>
      <c r="E24" s="24"/>
      <c r="F24" s="24"/>
    </row>
    <row r="25" spans="2:6" s="78" customFormat="1" ht="19.5" customHeight="1" x14ac:dyDescent="0.2">
      <c r="B25" s="84" t="s">
        <v>304</v>
      </c>
      <c r="C25" s="24"/>
      <c r="D25" s="11" t="s">
        <v>1101</v>
      </c>
      <c r="E25" s="24"/>
      <c r="F25" s="24"/>
    </row>
    <row r="26" spans="2:6" s="78" customFormat="1" ht="19.5" customHeight="1" x14ac:dyDescent="0.2">
      <c r="B26" s="84" t="s">
        <v>305</v>
      </c>
      <c r="C26" s="24"/>
      <c r="D26" s="11" t="s">
        <v>1102</v>
      </c>
      <c r="E26" s="24"/>
      <c r="F26" s="24"/>
    </row>
    <row r="27" spans="2:6" s="78" customFormat="1" ht="19.5" customHeight="1" x14ac:dyDescent="0.2">
      <c r="B27" s="84" t="s">
        <v>306</v>
      </c>
      <c r="C27" s="24"/>
      <c r="D27" s="11" t="s">
        <v>1103</v>
      </c>
      <c r="F27" s="24"/>
    </row>
    <row r="28" spans="2:6" s="78" customFormat="1" ht="19.5" customHeight="1" thickBot="1" x14ac:dyDescent="0.25">
      <c r="B28" s="83" t="s">
        <v>307</v>
      </c>
      <c r="C28" s="27"/>
      <c r="D28" s="13" t="s">
        <v>1104</v>
      </c>
      <c r="F28" s="24"/>
    </row>
    <row r="29" spans="2:6" s="78" customFormat="1" ht="23.25" customHeight="1" thickBot="1" x14ac:dyDescent="0.25">
      <c r="B29" s="793" t="s">
        <v>654</v>
      </c>
      <c r="C29" s="794"/>
      <c r="D29" s="795"/>
    </row>
    <row r="30" spans="2:6" s="78" customFormat="1" ht="30" customHeight="1" x14ac:dyDescent="0.2">
      <c r="B30" s="308" t="s">
        <v>782</v>
      </c>
      <c r="C30" s="796"/>
      <c r="D30" s="311" t="s">
        <v>783</v>
      </c>
    </row>
    <row r="31" spans="2:6" s="78" customFormat="1" ht="30" customHeight="1" x14ac:dyDescent="0.2">
      <c r="B31" s="318" t="s">
        <v>653</v>
      </c>
      <c r="C31" s="797"/>
      <c r="D31" s="317">
        <v>100</v>
      </c>
    </row>
    <row r="32" spans="2:6" s="78" customFormat="1" ht="30" customHeight="1" x14ac:dyDescent="0.2">
      <c r="B32" s="87" t="s">
        <v>308</v>
      </c>
      <c r="C32" s="797"/>
      <c r="D32" s="313">
        <v>240</v>
      </c>
    </row>
    <row r="33" spans="2:4" s="78" customFormat="1" ht="30" customHeight="1" x14ac:dyDescent="0.2">
      <c r="B33" s="87" t="s">
        <v>309</v>
      </c>
      <c r="C33" s="797"/>
      <c r="D33" s="313">
        <v>220</v>
      </c>
    </row>
    <row r="34" spans="2:4" ht="18" customHeight="1" thickBot="1" x14ac:dyDescent="0.25">
      <c r="B34" s="315" t="s">
        <v>310</v>
      </c>
      <c r="C34" s="798"/>
      <c r="D34" s="316">
        <v>240</v>
      </c>
    </row>
    <row r="35" spans="2:4" ht="22.9" customHeight="1" thickBot="1" x14ac:dyDescent="0.25">
      <c r="B35" s="789" t="s">
        <v>311</v>
      </c>
      <c r="C35" s="790"/>
      <c r="D35" s="791"/>
    </row>
    <row r="36" spans="2:4" ht="22.15" customHeight="1" x14ac:dyDescent="0.2">
      <c r="B36" s="308" t="s">
        <v>784</v>
      </c>
      <c r="C36" s="796"/>
      <c r="D36" s="311" t="s">
        <v>785</v>
      </c>
    </row>
    <row r="37" spans="2:4" ht="16.5" customHeight="1" x14ac:dyDescent="0.2">
      <c r="B37" s="86" t="s">
        <v>312</v>
      </c>
      <c r="C37" s="797"/>
      <c r="D37" s="256">
        <v>250</v>
      </c>
    </row>
    <row r="38" spans="2:4" ht="18" customHeight="1" thickBot="1" x14ac:dyDescent="0.25">
      <c r="B38" s="315" t="s">
        <v>681</v>
      </c>
      <c r="C38" s="798"/>
      <c r="D38" s="314">
        <v>450</v>
      </c>
    </row>
    <row r="39" spans="2:4" ht="18" customHeight="1" thickBot="1" x14ac:dyDescent="0.25">
      <c r="B39" s="799" t="s">
        <v>313</v>
      </c>
      <c r="C39" s="800"/>
      <c r="D39" s="801"/>
    </row>
    <row r="40" spans="2:4" ht="18" customHeight="1" x14ac:dyDescent="0.2">
      <c r="B40" s="308" t="s">
        <v>786</v>
      </c>
      <c r="C40" s="779"/>
      <c r="D40" s="311" t="s">
        <v>788</v>
      </c>
    </row>
    <row r="41" spans="2:4" ht="18" customHeight="1" x14ac:dyDescent="0.2">
      <c r="B41" s="309" t="s">
        <v>787</v>
      </c>
      <c r="C41" s="780"/>
      <c r="D41" s="312" t="s">
        <v>789</v>
      </c>
    </row>
    <row r="42" spans="2:4" ht="16.899999999999999" customHeight="1" thickBot="1" x14ac:dyDescent="0.25">
      <c r="B42" s="310" t="s">
        <v>314</v>
      </c>
      <c r="C42" s="781"/>
      <c r="D42" s="314">
        <v>210</v>
      </c>
    </row>
    <row r="43" spans="2:4" ht="16.899999999999999" customHeight="1" thickBot="1" x14ac:dyDescent="0.25">
      <c r="B43" s="782" t="s">
        <v>315</v>
      </c>
      <c r="C43" s="783"/>
      <c r="D43" s="784"/>
    </row>
    <row r="44" spans="2:4" ht="16.899999999999999" customHeight="1" x14ac:dyDescent="0.2">
      <c r="B44" s="118" t="s">
        <v>316</v>
      </c>
      <c r="C44" s="75"/>
      <c r="D44" s="26">
        <v>515</v>
      </c>
    </row>
    <row r="45" spans="2:4" ht="16.899999999999999" customHeight="1" x14ac:dyDescent="0.2">
      <c r="B45" s="118" t="s">
        <v>317</v>
      </c>
      <c r="C45" s="76"/>
      <c r="D45" s="11">
        <v>541</v>
      </c>
    </row>
    <row r="46" spans="2:4" ht="16.899999999999999" customHeight="1" x14ac:dyDescent="0.2">
      <c r="B46" s="118" t="s">
        <v>318</v>
      </c>
      <c r="C46" s="76"/>
      <c r="D46" s="11">
        <v>567</v>
      </c>
    </row>
    <row r="47" spans="2:4" ht="16.899999999999999" customHeight="1" x14ac:dyDescent="0.2">
      <c r="B47" s="118" t="s">
        <v>319</v>
      </c>
      <c r="C47" s="76"/>
      <c r="D47" s="11">
        <v>593</v>
      </c>
    </row>
    <row r="48" spans="2:4" ht="13.15" customHeight="1" x14ac:dyDescent="0.2">
      <c r="B48" s="118" t="s">
        <v>320</v>
      </c>
      <c r="C48" s="76"/>
      <c r="D48" s="11">
        <v>618</v>
      </c>
    </row>
    <row r="49" spans="2:5" ht="16.149999999999999" customHeight="1" x14ac:dyDescent="0.2">
      <c r="B49" s="118" t="s">
        <v>321</v>
      </c>
      <c r="C49" s="76"/>
      <c r="D49" s="11">
        <v>644</v>
      </c>
    </row>
    <row r="50" spans="2:5" ht="16.149999999999999" customHeight="1" x14ac:dyDescent="0.2">
      <c r="B50" s="118" t="s">
        <v>322</v>
      </c>
      <c r="C50" s="76"/>
      <c r="D50" s="11">
        <v>696</v>
      </c>
      <c r="E50" s="78"/>
    </row>
    <row r="51" spans="2:5" ht="16.149999999999999" customHeight="1" thickBot="1" x14ac:dyDescent="0.25">
      <c r="B51" s="118" t="s">
        <v>323</v>
      </c>
      <c r="C51" s="79"/>
      <c r="D51" s="256">
        <v>773</v>
      </c>
      <c r="E51" s="78"/>
    </row>
    <row r="52" spans="2:5" ht="21" thickBot="1" x14ac:dyDescent="0.25">
      <c r="B52" s="785" t="s">
        <v>655</v>
      </c>
      <c r="C52" s="786"/>
      <c r="D52" s="787"/>
    </row>
  </sheetData>
  <mergeCells count="19">
    <mergeCell ref="C40:C42"/>
    <mergeCell ref="B43:D43"/>
    <mergeCell ref="B52:D52"/>
    <mergeCell ref="B6:D6"/>
    <mergeCell ref="B8:D8"/>
    <mergeCell ref="B10:D10"/>
    <mergeCell ref="B12:D12"/>
    <mergeCell ref="B7:C7"/>
    <mergeCell ref="B9:D9"/>
    <mergeCell ref="B29:D29"/>
    <mergeCell ref="C30:C34"/>
    <mergeCell ref="B35:D35"/>
    <mergeCell ref="C36:C38"/>
    <mergeCell ref="B39:D39"/>
    <mergeCell ref="B1:D1"/>
    <mergeCell ref="B2:D2"/>
    <mergeCell ref="B3:D3"/>
    <mergeCell ref="B4:D4"/>
    <mergeCell ref="B5:D5"/>
  </mergeCells>
  <pageMargins left="0.157" right="0.27600000000000002" top="0.19700000000000001" bottom="0.23599999999999999" header="0.157" footer="0.19700000000000001"/>
  <pageSetup paperSize="9" scale="83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4"/>
  <sheetViews>
    <sheetView zoomScaleNormal="100" workbookViewId="0">
      <selection activeCell="A8" sqref="A8:C8"/>
    </sheetView>
  </sheetViews>
  <sheetFormatPr defaultColWidth="10" defaultRowHeight="12.75" x14ac:dyDescent="0.2"/>
  <cols>
    <col min="1" max="1" width="35.85546875" customWidth="1"/>
    <col min="2" max="2" width="66.28515625" customWidth="1"/>
    <col min="3" max="3" width="11.140625" customWidth="1"/>
  </cols>
  <sheetData>
    <row r="1" spans="1:8" ht="19.899999999999999" customHeight="1" x14ac:dyDescent="0.35">
      <c r="A1" s="770" t="s">
        <v>0</v>
      </c>
      <c r="B1" s="770"/>
      <c r="C1" s="770"/>
    </row>
    <row r="2" spans="1:8" ht="19.899999999999999" customHeight="1" x14ac:dyDescent="0.2">
      <c r="A2" s="772" t="s">
        <v>1</v>
      </c>
      <c r="B2" s="772"/>
      <c r="C2" s="772"/>
    </row>
    <row r="3" spans="1:8" ht="19.899999999999999" customHeight="1" x14ac:dyDescent="0.35">
      <c r="A3" s="770" t="s">
        <v>2</v>
      </c>
      <c r="B3" s="770"/>
      <c r="C3" s="770"/>
    </row>
    <row r="4" spans="1:8" ht="19.899999999999999" customHeight="1" x14ac:dyDescent="0.35">
      <c r="A4" s="770" t="s">
        <v>150</v>
      </c>
      <c r="B4" s="770"/>
      <c r="C4" s="770"/>
      <c r="F4" s="14"/>
    </row>
    <row r="5" spans="1:8" ht="19.899999999999999" customHeight="1" x14ac:dyDescent="0.35">
      <c r="A5" s="770" t="s">
        <v>1105</v>
      </c>
      <c r="B5" s="770"/>
      <c r="C5" s="770"/>
      <c r="F5" s="14"/>
    </row>
    <row r="6" spans="1:8" ht="19.899999999999999" customHeight="1" x14ac:dyDescent="0.35">
      <c r="A6" s="770" t="s">
        <v>37</v>
      </c>
      <c r="B6" s="770"/>
      <c r="C6" s="770"/>
      <c r="G6" s="176"/>
      <c r="H6" s="176"/>
    </row>
    <row r="7" spans="1:8" ht="18.600000000000001" customHeight="1" x14ac:dyDescent="0.25">
      <c r="A7" s="740" t="s">
        <v>1095</v>
      </c>
      <c r="B7" s="740"/>
      <c r="C7" s="740"/>
      <c r="F7" s="176"/>
      <c r="G7" s="176"/>
      <c r="H7" s="176"/>
    </row>
    <row r="8" spans="1:8" ht="15.75" customHeight="1" thickBot="1" x14ac:dyDescent="0.35">
      <c r="A8" s="814" t="s">
        <v>1151</v>
      </c>
      <c r="B8" s="814"/>
      <c r="C8" s="814"/>
    </row>
    <row r="9" spans="1:8" ht="23.25" customHeight="1" thickBot="1" x14ac:dyDescent="0.25">
      <c r="A9" s="815" t="s">
        <v>184</v>
      </c>
      <c r="B9" s="816"/>
      <c r="C9" s="469" t="s">
        <v>899</v>
      </c>
      <c r="D9" s="5"/>
    </row>
    <row r="10" spans="1:8" ht="21" customHeight="1" thickBot="1" x14ac:dyDescent="0.35">
      <c r="A10" s="805" t="s">
        <v>186</v>
      </c>
      <c r="B10" s="806"/>
      <c r="C10" s="807"/>
      <c r="D10" s="1"/>
      <c r="E10" s="4"/>
      <c r="F10" s="4"/>
    </row>
    <row r="11" spans="1:8" ht="50.25" customHeight="1" x14ac:dyDescent="0.3">
      <c r="A11" s="808"/>
      <c r="B11" s="30" t="s">
        <v>717</v>
      </c>
      <c r="C11" s="26">
        <v>1400</v>
      </c>
      <c r="D11" s="1"/>
      <c r="E11" s="4"/>
      <c r="F11" s="4"/>
    </row>
    <row r="12" spans="1:8" ht="50.25" customHeight="1" x14ac:dyDescent="0.3">
      <c r="A12" s="809"/>
      <c r="B12" s="58" t="s">
        <v>720</v>
      </c>
      <c r="C12" s="12">
        <v>1400</v>
      </c>
      <c r="D12" s="1"/>
      <c r="E12" s="4"/>
      <c r="F12" s="4"/>
    </row>
    <row r="13" spans="1:8" ht="50.25" customHeight="1" thickBot="1" x14ac:dyDescent="0.35">
      <c r="A13" s="810"/>
      <c r="B13" s="31" t="s">
        <v>718</v>
      </c>
      <c r="C13" s="13">
        <v>1200</v>
      </c>
      <c r="D13" s="1"/>
      <c r="E13" s="4"/>
      <c r="F13" s="4"/>
    </row>
    <row r="14" spans="1:8" ht="22.5" customHeight="1" thickBot="1" x14ac:dyDescent="0.35">
      <c r="A14" s="811" t="s">
        <v>187</v>
      </c>
      <c r="B14" s="812"/>
      <c r="C14" s="813"/>
    </row>
    <row r="15" spans="1:8" ht="57.75" customHeight="1" thickBot="1" x14ac:dyDescent="0.25">
      <c r="A15" s="110"/>
      <c r="B15" s="76" t="s">
        <v>188</v>
      </c>
      <c r="C15" s="102">
        <v>700</v>
      </c>
    </row>
    <row r="16" spans="1:8" ht="22.5" customHeight="1" thickBot="1" x14ac:dyDescent="0.25">
      <c r="A16" s="805" t="s">
        <v>719</v>
      </c>
      <c r="B16" s="806"/>
      <c r="C16" s="807"/>
    </row>
    <row r="17" spans="1:7" ht="62.25" customHeight="1" thickBot="1" x14ac:dyDescent="0.25">
      <c r="A17" s="434"/>
      <c r="B17" s="156" t="s">
        <v>190</v>
      </c>
      <c r="C17" s="101">
        <v>130</v>
      </c>
    </row>
    <row r="18" spans="1:7" ht="21" customHeight="1" thickBot="1" x14ac:dyDescent="0.3">
      <c r="A18" s="805" t="s">
        <v>189</v>
      </c>
      <c r="B18" s="806"/>
      <c r="C18" s="807"/>
      <c r="G18" s="16"/>
    </row>
    <row r="19" spans="1:7" ht="76.5" customHeight="1" thickBot="1" x14ac:dyDescent="0.3">
      <c r="A19" s="436"/>
      <c r="B19" s="435" t="s">
        <v>1119</v>
      </c>
      <c r="C19" s="100">
        <v>250</v>
      </c>
      <c r="G19" s="16"/>
    </row>
    <row r="20" spans="1:7" ht="76.5" customHeight="1" thickBot="1" x14ac:dyDescent="0.3">
      <c r="A20" s="436"/>
      <c r="B20" s="654" t="s">
        <v>1115</v>
      </c>
      <c r="C20" s="653">
        <v>625</v>
      </c>
      <c r="G20" s="16"/>
    </row>
    <row r="21" spans="1:7" ht="76.5" customHeight="1" thickBot="1" x14ac:dyDescent="0.3">
      <c r="A21" s="436"/>
      <c r="B21" s="655" t="s">
        <v>1116</v>
      </c>
      <c r="C21" s="100">
        <v>750</v>
      </c>
      <c r="G21" s="16"/>
    </row>
    <row r="22" spans="1:7" ht="76.5" customHeight="1" thickBot="1" x14ac:dyDescent="0.3">
      <c r="A22" s="436"/>
      <c r="B22" s="655" t="s">
        <v>1117</v>
      </c>
      <c r="C22" s="100">
        <v>750</v>
      </c>
      <c r="G22" s="16"/>
    </row>
    <row r="23" spans="1:7" ht="76.5" customHeight="1" thickBot="1" x14ac:dyDescent="0.3">
      <c r="A23" s="436"/>
      <c r="B23" s="656" t="s">
        <v>1118</v>
      </c>
      <c r="C23" s="100">
        <v>750</v>
      </c>
      <c r="G23" s="16"/>
    </row>
    <row r="24" spans="1:7" ht="14.25" customHeight="1" thickBot="1" x14ac:dyDescent="0.3">
      <c r="A24" s="802" t="s">
        <v>655</v>
      </c>
      <c r="B24" s="803"/>
      <c r="C24" s="804"/>
      <c r="G24" s="15"/>
    </row>
  </sheetData>
  <mergeCells count="15">
    <mergeCell ref="A6:C6"/>
    <mergeCell ref="A8:C8"/>
    <mergeCell ref="A9:B9"/>
    <mergeCell ref="A10:C10"/>
    <mergeCell ref="A1:C1"/>
    <mergeCell ref="A2:C2"/>
    <mergeCell ref="A3:C3"/>
    <mergeCell ref="A4:C4"/>
    <mergeCell ref="A5:C5"/>
    <mergeCell ref="A7:C7"/>
    <mergeCell ref="A24:C24"/>
    <mergeCell ref="A18:C18"/>
    <mergeCell ref="A16:C16"/>
    <mergeCell ref="A11:A13"/>
    <mergeCell ref="A14:C14"/>
  </mergeCells>
  <pageMargins left="3.9E-2" right="0" top="0.23599999999999999" bottom="0.157" header="0.157" footer="0.19700000000000001"/>
  <pageSetup paperSize="9" scale="9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14</vt:i4>
      </vt:variant>
    </vt:vector>
  </HeadingPairs>
  <TitlesOfParts>
    <vt:vector size="34" baseType="lpstr">
      <vt:lpstr>АКЦИИ МЕСЯЦА</vt:lpstr>
      <vt:lpstr>Доска обрезная</vt:lpstr>
      <vt:lpstr>Доска строганная</vt:lpstr>
      <vt:lpstr>Евровагонка и штиль</vt:lpstr>
      <vt:lpstr>Блок-хаус, доска пола</vt:lpstr>
      <vt:lpstr>Имитация бруса</vt:lpstr>
      <vt:lpstr>Изделия осина</vt:lpstr>
      <vt:lpstr>Изделия из осины</vt:lpstr>
      <vt:lpstr>Утеплители, рубероид, блоки</vt:lpstr>
      <vt:lpstr>ИЗОСПАН</vt:lpstr>
      <vt:lpstr>Антисептик СЕНЕЖ</vt:lpstr>
      <vt:lpstr>ОСП</vt:lpstr>
      <vt:lpstr>Погонажная продукция</vt:lpstr>
      <vt:lpstr>Лестничный элемент</vt:lpstr>
      <vt:lpstr>Метизы</vt:lpstr>
      <vt:lpstr>Ондулин</vt:lpstr>
      <vt:lpstr>Черепица</vt:lpstr>
      <vt:lpstr>Бруски</vt:lpstr>
      <vt:lpstr>Металл</vt:lpstr>
      <vt:lpstr>Металл (на заказ)</vt:lpstr>
      <vt:lpstr>'АКЦИИ МЕСЯЦА'!Область_печати</vt:lpstr>
      <vt:lpstr>'Антисептик СЕНЕЖ'!Область_печати</vt:lpstr>
      <vt:lpstr>'Блок-хаус, доска пола'!Область_печати</vt:lpstr>
      <vt:lpstr>'Доска строганная'!Область_печати</vt:lpstr>
      <vt:lpstr>'Евровагонка и штиль'!Область_печати</vt:lpstr>
      <vt:lpstr>'Изделия из осины'!Область_печати</vt:lpstr>
      <vt:lpstr>'Изделия осина'!Область_печати</vt:lpstr>
      <vt:lpstr>'Имитация бруса'!Область_печати</vt:lpstr>
      <vt:lpstr>'Лестничный элемент'!Область_печати</vt:lpstr>
      <vt:lpstr>'Металл (на заказ)'!Область_печати</vt:lpstr>
      <vt:lpstr>Метизы!Область_печати</vt:lpstr>
      <vt:lpstr>ОСП!Область_печати</vt:lpstr>
      <vt:lpstr>'Погонажная продукция'!Область_печати</vt:lpstr>
      <vt:lpstr>'Утеплители, рубероид, блоки'!Область_печати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Yaroslav</dc:creator>
  <cp:keywords/>
  <dc:description/>
  <cp:lastModifiedBy>user</cp:lastModifiedBy>
  <cp:revision/>
  <cp:lastPrinted>2026-08-11T13:11:58Z</cp:lastPrinted>
  <dcterms:created xsi:type="dcterms:W3CDTF">2007-02-01T08:58:19Z</dcterms:created>
  <dcterms:modified xsi:type="dcterms:W3CDTF">2026-08-11T13:46:15Z</dcterms:modified>
  <cp:category/>
  <cp:contentStatus/>
</cp:coreProperties>
</file>